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7년도 계약관련자료\★ 남원의료원 공동구매(위생재료, 방사선재료, 장의용품)\위생재료\3. 업체 공지사항\"/>
    </mc:Choice>
  </mc:AlternateContent>
  <bookViews>
    <workbookView xWindow="0" yWindow="0" windowWidth="28800" windowHeight="12060"/>
  </bookViews>
  <sheets>
    <sheet name="위생재료　입찰예정품목" sheetId="6" r:id="rId1"/>
  </sheets>
  <externalReferences>
    <externalReference r:id="rId2"/>
    <externalReference r:id="rId3"/>
  </externalReferences>
  <definedNames>
    <definedName name="__xlnm._FilterDatabase_1" localSheetId="0">#REF!</definedName>
    <definedName name="__xlnm._FilterDatabase_1">#REF!</definedName>
    <definedName name="_xlnm._FilterDatabase" localSheetId="0" hidden="1">'위생재료　입찰예정품목'!$A$3:$O$1173</definedName>
    <definedName name="aa" localSheetId="0">[1]입찰품목!#REF!</definedName>
    <definedName name="aa">[1]입찰품목!#REF!</definedName>
    <definedName name="d" localSheetId="0">[1]입찰품목!#REF!</definedName>
    <definedName name="d">[1]입찰품목!#REF!</definedName>
    <definedName name="IV카테타" localSheetId="0">[1]입찰품목!#REF!</definedName>
    <definedName name="IV카테타">[1]입찰품목!#REF!</definedName>
    <definedName name="IV카테타_1">0</definedName>
    <definedName name="_xlnm.Print_Area" localSheetId="0">'위생재료　입찰예정품목'!$A$1:$O$1175</definedName>
    <definedName name="_xlnm.Print_Titles" localSheetId="0">'위생재료　입찰예정품목'!$3:$3</definedName>
    <definedName name="qqq" localSheetId="0">[1]입찰품목!#REF!</definedName>
    <definedName name="qqq">[1]입찰품목!#REF!</definedName>
    <definedName name="ss" localSheetId="0">[1]입찰품목!#REF!</definedName>
    <definedName name="ss">[1]입찰품목!#REF!</definedName>
    <definedName name="sxx" localSheetId="0">[2]입찰품목!#REF!</definedName>
    <definedName name="sxx">[2]입찰품목!#REF!</definedName>
    <definedName name="ㄱㄷ" localSheetId="0">[1]입찰품목!#REF!</definedName>
    <definedName name="ㄱㄷ">[1]입찰품목!#REF!</definedName>
    <definedName name="ㄳㄷ" localSheetId="0">[1]입찰품목!#REF!</definedName>
    <definedName name="ㄳㄷ">[1]입찰품목!#REF!</definedName>
    <definedName name="낙찰총계2" localSheetId="0">[1]입찰품목!#REF!</definedName>
    <definedName name="낙찰총계2">[1]입찰품목!#REF!</definedName>
    <definedName name="낙찰총계2_1">0</definedName>
    <definedName name="남원" localSheetId="0">[1]입찰품목!#REF!</definedName>
    <definedName name="남원">[1]입찰품목!#REF!</definedName>
    <definedName name="남원_1">0</definedName>
    <definedName name="ㄷㅈㅂ" localSheetId="0">[1]입찰품목!#REF!</definedName>
    <definedName name="ㄷㅈㅂ">[1]입찰품목!#REF!</definedName>
    <definedName name="ㄷㅎㅇ" localSheetId="0">[1]입찰품목!#REF!</definedName>
    <definedName name="ㄷㅎㅇ">[1]입찰품목!#REF!</definedName>
    <definedName name="ㄹㅊㅌ" localSheetId="0">[2]입찰품목!#REF!</definedName>
    <definedName name="ㄹㅊㅌ">[2]입찰품목!#REF!</definedName>
    <definedName name="ㅁㄴ" localSheetId="0">[1]입찰품목!#REF!</definedName>
    <definedName name="ㅁㄴ">[1]입찰품목!#REF!</definedName>
    <definedName name="마이크로포" localSheetId="0">[1]입찰품목!#REF!</definedName>
    <definedName name="마이크로포">[1]입찰품목!#REF!</definedName>
    <definedName name="마이크로포_1">0</definedName>
    <definedName name="솜붕대" localSheetId="0">[1]입찰품목!#REF!</definedName>
    <definedName name="솜붕대">[1]입찰품목!#REF!</definedName>
    <definedName name="솜붕대_1">0</definedName>
    <definedName name="수술재료" localSheetId="0">[1]입찰품목!#REF!</definedName>
    <definedName name="수술재료">[1]입찰품목!#REF!</definedName>
    <definedName name="수액셋트" localSheetId="0">[1]입찰품목!#REF!</definedName>
    <definedName name="수액셋트">[1]입찰품목!#REF!</definedName>
    <definedName name="ㅇ" localSheetId="0">[1]입찰품목!#REF!</definedName>
    <definedName name="ㅇ">[1]입찰품목!#REF!</definedName>
    <definedName name="ㅇㅀ" localSheetId="0">[1]입찰품목!#REF!</definedName>
    <definedName name="ㅇㅀ">[1]입찰품목!#REF!</definedName>
    <definedName name="ㅇㅇ" localSheetId="0">[1]입찰품목!#REF!</definedName>
    <definedName name="ㅇㅇ">[1]입찰품목!#REF!</definedName>
    <definedName name="ㅇㅇㅇㅇㅇ" localSheetId="0">[2]입찰품목!#REF!</definedName>
    <definedName name="ㅇㅇㅇㅇㅇ">[2]입찰품목!#REF!</definedName>
    <definedName name="알콜" localSheetId="0">[1]입찰품목!#REF!</definedName>
    <definedName name="알콜">[1]입찰품목!#REF!</definedName>
    <definedName name="재료" localSheetId="0">[2]입찰품목!#REF!</definedName>
    <definedName name="재료">[2]입찰품목!#REF!</definedName>
    <definedName name="콜로스토미" localSheetId="0">[1]입찰품목!#REF!</definedName>
    <definedName name="콜로스토미">[1]입찰품목!#REF!</definedName>
    <definedName name="ㅎㅎ" localSheetId="0">[1]입찰품목!#REF!</definedName>
    <definedName name="ㅎㅎ">[1]입찰품목!#REF!</definedName>
    <definedName name="ㅠㅠ" localSheetId="0">[2]입찰품목!#REF!</definedName>
    <definedName name="ㅠㅠ">[2]입찰품목!#REF!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73" i="6" l="1"/>
  <c r="L1091" i="6"/>
  <c r="L1048" i="6"/>
  <c r="L984" i="6"/>
  <c r="L909" i="6"/>
  <c r="L773" i="6"/>
  <c r="L721" i="6"/>
  <c r="L693" i="6"/>
  <c r="L603" i="6"/>
  <c r="L521" i="6"/>
  <c r="L484" i="6"/>
  <c r="L444" i="6"/>
  <c r="L388" i="6"/>
  <c r="L359" i="6"/>
  <c r="L353" i="6"/>
  <c r="L322" i="6"/>
  <c r="L320" i="6"/>
  <c r="L296" i="6"/>
  <c r="L275" i="6"/>
  <c r="L273" i="6"/>
  <c r="L268" i="6"/>
  <c r="L258" i="6"/>
  <c r="L254" i="6"/>
  <c r="L241" i="6"/>
  <c r="L238" i="6"/>
  <c r="L227" i="6"/>
  <c r="L209" i="6"/>
  <c r="L206" i="6"/>
  <c r="L203" i="6"/>
  <c r="L200" i="6"/>
  <c r="L165" i="6"/>
  <c r="L147" i="6"/>
  <c r="L142" i="6"/>
  <c r="L139" i="6"/>
  <c r="L129" i="6"/>
  <c r="L125" i="6"/>
  <c r="L118" i="6"/>
  <c r="L107" i="6"/>
  <c r="L100" i="6"/>
  <c r="L97" i="6"/>
  <c r="L89" i="6"/>
  <c r="L87" i="6"/>
  <c r="L85" i="6"/>
  <c r="L81" i="6"/>
  <c r="L79" i="6"/>
  <c r="L58" i="6"/>
  <c r="L53" i="6"/>
  <c r="L48" i="6"/>
  <c r="L46" i="6"/>
  <c r="L39" i="6"/>
  <c r="L32" i="6"/>
  <c r="L26" i="6"/>
  <c r="L17" i="6"/>
  <c r="K1173" i="6"/>
  <c r="K1091" i="6"/>
  <c r="K1069" i="6"/>
  <c r="K984" i="6"/>
  <c r="K813" i="6"/>
  <c r="K773" i="6"/>
  <c r="K721" i="6"/>
  <c r="K603" i="6"/>
  <c r="K587" i="6"/>
  <c r="K562" i="6"/>
  <c r="K546" i="6"/>
  <c r="K521" i="6"/>
  <c r="K510" i="6"/>
  <c r="K505" i="6"/>
  <c r="K444" i="6"/>
  <c r="K322" i="6"/>
  <c r="K296" i="6"/>
  <c r="K293" i="6"/>
  <c r="K275" i="6"/>
  <c r="K273" i="6"/>
  <c r="K268" i="6"/>
  <c r="K258" i="6"/>
  <c r="K254" i="6"/>
  <c r="K241" i="6"/>
  <c r="K238" i="6"/>
  <c r="K227" i="6"/>
  <c r="K209" i="6"/>
  <c r="K206" i="6"/>
  <c r="K203" i="6"/>
  <c r="K200" i="6"/>
  <c r="K165" i="6"/>
  <c r="K147" i="6"/>
  <c r="K142" i="6"/>
  <c r="K129" i="6"/>
  <c r="K118" i="6"/>
  <c r="K107" i="6"/>
  <c r="K100" i="6"/>
  <c r="K97" i="6"/>
  <c r="K89" i="6"/>
  <c r="K87" i="6"/>
  <c r="K85" i="6"/>
  <c r="K81" i="6"/>
  <c r="K79" i="6"/>
  <c r="K66" i="6"/>
  <c r="K58" i="6"/>
  <c r="K53" i="6"/>
  <c r="K48" i="6"/>
  <c r="K46" i="6"/>
  <c r="K39" i="6"/>
  <c r="K26" i="6"/>
  <c r="K17" i="6"/>
  <c r="M256" i="6" l="1"/>
  <c r="M257" i="6"/>
  <c r="M255" i="6"/>
  <c r="M258" i="6" s="1"/>
  <c r="M602" i="6" l="1"/>
  <c r="M601" i="6"/>
  <c r="M600" i="6"/>
  <c r="M599" i="6"/>
  <c r="M598" i="6"/>
  <c r="M597" i="6"/>
  <c r="M596" i="6"/>
  <c r="M595" i="6"/>
  <c r="M594" i="6"/>
  <c r="M593" i="6"/>
  <c r="M592" i="6"/>
  <c r="M591" i="6"/>
  <c r="M590" i="6"/>
  <c r="M589" i="6"/>
  <c r="M588" i="6"/>
  <c r="M545" i="6"/>
  <c r="M544" i="6"/>
  <c r="M543" i="6"/>
  <c r="M542" i="6"/>
  <c r="M541" i="6"/>
  <c r="M540" i="6"/>
  <c r="M539" i="6"/>
  <c r="M538" i="6"/>
  <c r="M537" i="6"/>
  <c r="M536" i="6"/>
  <c r="M535" i="6"/>
  <c r="M534" i="6"/>
  <c r="M533" i="6"/>
  <c r="L532" i="6"/>
  <c r="M531" i="6"/>
  <c r="M530" i="6"/>
  <c r="M529" i="6"/>
  <c r="M528" i="6"/>
  <c r="M527" i="6"/>
  <c r="M526" i="6"/>
  <c r="M525" i="6"/>
  <c r="M524" i="6"/>
  <c r="M523" i="6"/>
  <c r="M522" i="6"/>
  <c r="M47" i="6"/>
  <c r="M48" i="6" s="1"/>
  <c r="M88" i="6"/>
  <c r="M89" i="6" s="1"/>
  <c r="M812" i="6"/>
  <c r="M811" i="6"/>
  <c r="M810" i="6"/>
  <c r="M809" i="6"/>
  <c r="M808" i="6"/>
  <c r="M807" i="6"/>
  <c r="M806" i="6"/>
  <c r="M805" i="6"/>
  <c r="M804" i="6"/>
  <c r="M803" i="6"/>
  <c r="M802" i="6"/>
  <c r="M801" i="6"/>
  <c r="M800" i="6"/>
  <c r="L799" i="6"/>
  <c r="M798" i="6"/>
  <c r="M797" i="6"/>
  <c r="M796" i="6"/>
  <c r="M795" i="6"/>
  <c r="M794" i="6"/>
  <c r="M793" i="6"/>
  <c r="M792" i="6"/>
  <c r="M791" i="6"/>
  <c r="M790" i="6"/>
  <c r="M789" i="6"/>
  <c r="M788" i="6"/>
  <c r="M787" i="6"/>
  <c r="M786" i="6"/>
  <c r="M785" i="6"/>
  <c r="M784" i="6"/>
  <c r="M783" i="6"/>
  <c r="M782" i="6"/>
  <c r="M781" i="6"/>
  <c r="M780" i="6"/>
  <c r="M779" i="6"/>
  <c r="M778" i="6"/>
  <c r="M777" i="6"/>
  <c r="M776" i="6"/>
  <c r="M775" i="6"/>
  <c r="M774" i="6"/>
  <c r="M586" i="6"/>
  <c r="M585" i="6"/>
  <c r="M584" i="6"/>
  <c r="M583" i="6"/>
  <c r="M582" i="6"/>
  <c r="M581" i="6"/>
  <c r="L580" i="6"/>
  <c r="M580" i="6" s="1"/>
  <c r="M579" i="6"/>
  <c r="M578" i="6"/>
  <c r="M577" i="6"/>
  <c r="M576" i="6"/>
  <c r="M575" i="6"/>
  <c r="M574" i="6"/>
  <c r="M573" i="6"/>
  <c r="M572" i="6"/>
  <c r="M571" i="6"/>
  <c r="L570" i="6"/>
  <c r="M570" i="6" s="1"/>
  <c r="L569" i="6"/>
  <c r="M569" i="6" s="1"/>
  <c r="L568" i="6"/>
  <c r="M567" i="6"/>
  <c r="M566" i="6"/>
  <c r="M565" i="6"/>
  <c r="M564" i="6"/>
  <c r="M563" i="6"/>
  <c r="M99" i="6"/>
  <c r="M98" i="6"/>
  <c r="M100" i="6" s="1"/>
  <c r="L509" i="6"/>
  <c r="M509" i="6" s="1"/>
  <c r="M508" i="6"/>
  <c r="M507" i="6"/>
  <c r="L506" i="6"/>
  <c r="M38" i="6"/>
  <c r="M37" i="6"/>
  <c r="M36" i="6"/>
  <c r="M35" i="6"/>
  <c r="M34" i="6"/>
  <c r="M33" i="6"/>
  <c r="M272" i="6"/>
  <c r="M271" i="6"/>
  <c r="M270" i="6"/>
  <c r="M269" i="6"/>
  <c r="M273" i="6" s="1"/>
  <c r="M96" i="6"/>
  <c r="M95" i="6"/>
  <c r="M94" i="6"/>
  <c r="M93" i="6"/>
  <c r="M92" i="6"/>
  <c r="M91" i="6"/>
  <c r="M90" i="6"/>
  <c r="M106" i="6"/>
  <c r="M105" i="6"/>
  <c r="M104" i="6"/>
  <c r="M103" i="6"/>
  <c r="M102" i="6"/>
  <c r="N101" i="6"/>
  <c r="M101" i="6"/>
  <c r="M65" i="6"/>
  <c r="M64" i="6"/>
  <c r="M63" i="6"/>
  <c r="L62" i="6"/>
  <c r="M62" i="6" s="1"/>
  <c r="L61" i="6"/>
  <c r="M60" i="6"/>
  <c r="M59" i="6"/>
  <c r="M205" i="6"/>
  <c r="M204" i="6"/>
  <c r="M206" i="6" s="1"/>
  <c r="M84" i="6"/>
  <c r="M83" i="6"/>
  <c r="M82" i="6"/>
  <c r="M164" i="6"/>
  <c r="M163" i="6"/>
  <c r="M162" i="6"/>
  <c r="M161" i="6"/>
  <c r="M160" i="6"/>
  <c r="N159" i="6"/>
  <c r="M159" i="6"/>
  <c r="N158" i="6"/>
  <c r="M158" i="6"/>
  <c r="N157" i="6"/>
  <c r="M157" i="6"/>
  <c r="N156" i="6"/>
  <c r="M156" i="6"/>
  <c r="N155" i="6"/>
  <c r="M155" i="6"/>
  <c r="N154" i="6"/>
  <c r="M154" i="6"/>
  <c r="N153" i="6"/>
  <c r="M153" i="6"/>
  <c r="N152" i="6"/>
  <c r="M152" i="6"/>
  <c r="N151" i="6"/>
  <c r="M151" i="6"/>
  <c r="N150" i="6"/>
  <c r="M150" i="6"/>
  <c r="N149" i="6"/>
  <c r="M149" i="6"/>
  <c r="N148" i="6"/>
  <c r="M148" i="6"/>
  <c r="M57" i="6"/>
  <c r="M56" i="6"/>
  <c r="M55" i="6"/>
  <c r="M54" i="6"/>
  <c r="M58" i="6" s="1"/>
  <c r="M202" i="6"/>
  <c r="M201" i="6"/>
  <c r="M561" i="6"/>
  <c r="M560" i="6"/>
  <c r="M559" i="6"/>
  <c r="M558" i="6"/>
  <c r="M557" i="6"/>
  <c r="M556" i="6"/>
  <c r="M555" i="6"/>
  <c r="L554" i="6"/>
  <c r="M554" i="6" s="1"/>
  <c r="L553" i="6"/>
  <c r="M553" i="6" s="1"/>
  <c r="L552" i="6"/>
  <c r="M551" i="6"/>
  <c r="M550" i="6"/>
  <c r="M549" i="6"/>
  <c r="M548" i="6"/>
  <c r="M547" i="6"/>
  <c r="M16" i="6"/>
  <c r="M15" i="6"/>
  <c r="M14" i="6"/>
  <c r="M13" i="6"/>
  <c r="M12" i="6"/>
  <c r="M11" i="6"/>
  <c r="M10" i="6"/>
  <c r="M9" i="6"/>
  <c r="N8" i="6"/>
  <c r="M8" i="6"/>
  <c r="M7" i="6"/>
  <c r="M6" i="6"/>
  <c r="M5" i="6"/>
  <c r="M80" i="6"/>
  <c r="M81" i="6" s="1"/>
  <c r="M267" i="6"/>
  <c r="M266" i="6"/>
  <c r="M265" i="6"/>
  <c r="M264" i="6"/>
  <c r="M263" i="6"/>
  <c r="M262" i="6"/>
  <c r="M261" i="6"/>
  <c r="M260" i="6"/>
  <c r="M321" i="6"/>
  <c r="M322" i="6" s="1"/>
  <c r="K31" i="6"/>
  <c r="M31" i="6" s="1"/>
  <c r="M30" i="6"/>
  <c r="K29" i="6"/>
  <c r="M29" i="6" s="1"/>
  <c r="K28" i="6"/>
  <c r="M27" i="6"/>
  <c r="M253" i="6"/>
  <c r="M252" i="6"/>
  <c r="M251" i="6"/>
  <c r="M250" i="6"/>
  <c r="M249" i="6"/>
  <c r="M248" i="6"/>
  <c r="M247" i="6"/>
  <c r="M246" i="6"/>
  <c r="M245" i="6"/>
  <c r="M244" i="6"/>
  <c r="M243" i="6"/>
  <c r="M242" i="6"/>
  <c r="M138" i="6"/>
  <c r="K137" i="6"/>
  <c r="M137" i="6" s="1"/>
  <c r="K136" i="6"/>
  <c r="M135" i="6"/>
  <c r="M134" i="6"/>
  <c r="M133" i="6"/>
  <c r="M132" i="6"/>
  <c r="M131" i="6"/>
  <c r="M130" i="6"/>
  <c r="M128" i="6"/>
  <c r="M127" i="6"/>
  <c r="M126" i="6"/>
  <c r="M25" i="6"/>
  <c r="M24" i="6"/>
  <c r="M23" i="6"/>
  <c r="M22" i="6"/>
  <c r="M21" i="6"/>
  <c r="M20" i="6"/>
  <c r="M19" i="6"/>
  <c r="M18" i="6"/>
  <c r="M78" i="6"/>
  <c r="M77" i="6"/>
  <c r="M76" i="6"/>
  <c r="M75" i="6"/>
  <c r="M74" i="6"/>
  <c r="M73" i="6"/>
  <c r="M72" i="6"/>
  <c r="M71" i="6"/>
  <c r="M70" i="6"/>
  <c r="M69" i="6"/>
  <c r="M68" i="6"/>
  <c r="M67" i="6"/>
  <c r="M117" i="6"/>
  <c r="M116" i="6"/>
  <c r="M115" i="6"/>
  <c r="M114" i="6"/>
  <c r="M113" i="6"/>
  <c r="M112" i="6"/>
  <c r="M111" i="6"/>
  <c r="M110" i="6"/>
  <c r="M109" i="6"/>
  <c r="M108" i="6"/>
  <c r="M237" i="6"/>
  <c r="M236" i="6"/>
  <c r="M235" i="6"/>
  <c r="M234" i="6"/>
  <c r="M233" i="6"/>
  <c r="M232" i="6"/>
  <c r="M231" i="6"/>
  <c r="M230" i="6"/>
  <c r="M229" i="6"/>
  <c r="M228" i="6"/>
  <c r="M238" i="6" s="1"/>
  <c r="M45" i="6"/>
  <c r="M44" i="6"/>
  <c r="M43" i="6"/>
  <c r="M42" i="6"/>
  <c r="M41" i="6"/>
  <c r="M40" i="6"/>
  <c r="M46" i="6" s="1"/>
  <c r="M146" i="6"/>
  <c r="M145" i="6"/>
  <c r="M144" i="6"/>
  <c r="M143" i="6"/>
  <c r="M147" i="6" s="1"/>
  <c r="M387" i="6"/>
  <c r="M386" i="6"/>
  <c r="M385" i="6"/>
  <c r="M384" i="6"/>
  <c r="M383" i="6"/>
  <c r="M382" i="6"/>
  <c r="M381" i="6"/>
  <c r="M380" i="6"/>
  <c r="M379" i="6"/>
  <c r="M378" i="6"/>
  <c r="M377" i="6"/>
  <c r="M376" i="6"/>
  <c r="M375" i="6"/>
  <c r="M374" i="6"/>
  <c r="M373" i="6"/>
  <c r="M372" i="6"/>
  <c r="M371" i="6"/>
  <c r="M370" i="6"/>
  <c r="M369" i="6"/>
  <c r="M368" i="6"/>
  <c r="M367" i="6"/>
  <c r="K366" i="6"/>
  <c r="M366" i="6" s="1"/>
  <c r="K365" i="6"/>
  <c r="M365" i="6" s="1"/>
  <c r="K364" i="6"/>
  <c r="M364" i="6" s="1"/>
  <c r="K363" i="6"/>
  <c r="M363" i="6" s="1"/>
  <c r="K362" i="6"/>
  <c r="M362" i="6" s="1"/>
  <c r="K361" i="6"/>
  <c r="K360" i="6"/>
  <c r="M208" i="6"/>
  <c r="M207" i="6"/>
  <c r="M209" i="6" s="1"/>
  <c r="M292" i="6"/>
  <c r="M291" i="6"/>
  <c r="L290" i="6"/>
  <c r="M290" i="6" s="1"/>
  <c r="M289" i="6"/>
  <c r="M288" i="6"/>
  <c r="M287" i="6"/>
  <c r="L286" i="6"/>
  <c r="M286" i="6" s="1"/>
  <c r="M285" i="6"/>
  <c r="M284" i="6"/>
  <c r="M283" i="6"/>
  <c r="M282" i="6"/>
  <c r="L281" i="6"/>
  <c r="M281" i="6" s="1"/>
  <c r="L280" i="6"/>
  <c r="M280" i="6" s="1"/>
  <c r="L279" i="6"/>
  <c r="M278" i="6"/>
  <c r="M277" i="6"/>
  <c r="M276" i="6"/>
  <c r="M199" i="6"/>
  <c r="M198" i="6"/>
  <c r="M197" i="6"/>
  <c r="M196" i="6"/>
  <c r="M195" i="6"/>
  <c r="M194" i="6"/>
  <c r="M193" i="6"/>
  <c r="M192" i="6"/>
  <c r="M191" i="6"/>
  <c r="M190" i="6"/>
  <c r="M189" i="6"/>
  <c r="M188" i="6"/>
  <c r="M187" i="6"/>
  <c r="M186" i="6"/>
  <c r="M185" i="6"/>
  <c r="M184" i="6"/>
  <c r="M183" i="6"/>
  <c r="M182" i="6"/>
  <c r="M181" i="6"/>
  <c r="M180" i="6"/>
  <c r="M179" i="6"/>
  <c r="M178" i="6"/>
  <c r="M177" i="6"/>
  <c r="M176" i="6"/>
  <c r="M175" i="6"/>
  <c r="M174" i="6"/>
  <c r="M173" i="6"/>
  <c r="M172" i="6"/>
  <c r="M171" i="6"/>
  <c r="M170" i="6"/>
  <c r="M169" i="6"/>
  <c r="M168" i="6"/>
  <c r="M167" i="6"/>
  <c r="M166" i="6"/>
  <c r="M240" i="6"/>
  <c r="M239" i="6"/>
  <c r="M241" i="6" s="1"/>
  <c r="M124" i="6"/>
  <c r="M123" i="6"/>
  <c r="M122" i="6"/>
  <c r="M121" i="6"/>
  <c r="N120" i="6"/>
  <c r="M120" i="6"/>
  <c r="K119" i="6"/>
  <c r="K125" i="6" s="1"/>
  <c r="M52" i="6"/>
  <c r="M51" i="6"/>
  <c r="M50" i="6"/>
  <c r="M49" i="6"/>
  <c r="M53" i="6" s="1"/>
  <c r="M141" i="6"/>
  <c r="M140" i="6"/>
  <c r="M142" i="6" s="1"/>
  <c r="M664" i="6"/>
  <c r="M663" i="6"/>
  <c r="M662" i="6"/>
  <c r="K661" i="6"/>
  <c r="M661" i="6" s="1"/>
  <c r="M660" i="6"/>
  <c r="K659" i="6"/>
  <c r="M659" i="6" s="1"/>
  <c r="M658" i="6"/>
  <c r="M657" i="6"/>
  <c r="M656" i="6"/>
  <c r="M655" i="6"/>
  <c r="M654" i="6"/>
  <c r="M653" i="6"/>
  <c r="M652" i="6"/>
  <c r="M651" i="6"/>
  <c r="M650" i="6"/>
  <c r="M649" i="6"/>
  <c r="M648" i="6"/>
  <c r="M647" i="6"/>
  <c r="M646" i="6"/>
  <c r="M645" i="6"/>
  <c r="M644" i="6"/>
  <c r="M643" i="6"/>
  <c r="M642" i="6"/>
  <c r="M641" i="6"/>
  <c r="M640" i="6"/>
  <c r="M639" i="6"/>
  <c r="M638" i="6"/>
  <c r="M637" i="6"/>
  <c r="M636" i="6"/>
  <c r="M635" i="6"/>
  <c r="M634" i="6"/>
  <c r="M633" i="6"/>
  <c r="M624" i="6"/>
  <c r="M632" i="6"/>
  <c r="M631" i="6"/>
  <c r="M630" i="6"/>
  <c r="M629" i="6"/>
  <c r="M628" i="6"/>
  <c r="M627" i="6"/>
  <c r="M626" i="6"/>
  <c r="M625" i="6"/>
  <c r="L623" i="6"/>
  <c r="M622" i="6"/>
  <c r="M621" i="6"/>
  <c r="M620" i="6"/>
  <c r="K619" i="6"/>
  <c r="M618" i="6"/>
  <c r="M617" i="6"/>
  <c r="N616" i="6"/>
  <c r="M616" i="6"/>
  <c r="M615" i="6"/>
  <c r="K614" i="6"/>
  <c r="M613" i="6"/>
  <c r="M612" i="6"/>
  <c r="M611" i="6"/>
  <c r="M610" i="6"/>
  <c r="M609" i="6"/>
  <c r="M608" i="6"/>
  <c r="M607" i="6"/>
  <c r="M606" i="6"/>
  <c r="M605" i="6"/>
  <c r="M604" i="6"/>
  <c r="M504" i="6"/>
  <c r="M503" i="6"/>
  <c r="M502" i="6"/>
  <c r="M501" i="6"/>
  <c r="M500" i="6"/>
  <c r="M499" i="6"/>
  <c r="M498" i="6"/>
  <c r="M497" i="6"/>
  <c r="M496" i="6"/>
  <c r="M495" i="6"/>
  <c r="M494" i="6"/>
  <c r="M493" i="6"/>
  <c r="M492" i="6"/>
  <c r="M491" i="6"/>
  <c r="M490" i="6"/>
  <c r="M489" i="6"/>
  <c r="L488" i="6"/>
  <c r="M487" i="6"/>
  <c r="M486" i="6"/>
  <c r="M485" i="6"/>
  <c r="M226" i="6"/>
  <c r="M225" i="6"/>
  <c r="M224" i="6"/>
  <c r="M223" i="6"/>
  <c r="M222" i="6"/>
  <c r="M221" i="6"/>
  <c r="M220" i="6"/>
  <c r="M219" i="6"/>
  <c r="M218" i="6"/>
  <c r="M217" i="6"/>
  <c r="M216" i="6"/>
  <c r="M215" i="6"/>
  <c r="M214" i="6"/>
  <c r="M213" i="6"/>
  <c r="M212" i="6"/>
  <c r="M211" i="6"/>
  <c r="M210" i="6"/>
  <c r="M1068" i="6"/>
  <c r="M1067" i="6"/>
  <c r="M1066" i="6"/>
  <c r="M1065" i="6"/>
  <c r="M1064" i="6"/>
  <c r="M1063" i="6"/>
  <c r="M1062" i="6"/>
  <c r="L1061" i="6"/>
  <c r="M1061" i="6" s="1"/>
  <c r="L1060" i="6"/>
  <c r="M1060" i="6" s="1"/>
  <c r="L1059" i="6"/>
  <c r="M1059" i="6" s="1"/>
  <c r="M1058" i="6"/>
  <c r="M1057" i="6"/>
  <c r="L1056" i="6"/>
  <c r="M1055" i="6"/>
  <c r="M1054" i="6"/>
  <c r="M1053" i="6"/>
  <c r="N1052" i="6"/>
  <c r="M1052" i="6"/>
  <c r="M1051" i="6"/>
  <c r="N1050" i="6"/>
  <c r="M1050" i="6"/>
  <c r="N1049" i="6"/>
  <c r="M1049" i="6"/>
  <c r="M295" i="6"/>
  <c r="M294" i="6"/>
  <c r="M296" i="6" s="1"/>
  <c r="M443" i="6"/>
  <c r="M442" i="6"/>
  <c r="M441" i="6"/>
  <c r="M440" i="6"/>
  <c r="M439" i="6"/>
  <c r="M438" i="6"/>
  <c r="M437" i="6"/>
  <c r="M436" i="6"/>
  <c r="M435" i="6"/>
  <c r="M434" i="6"/>
  <c r="M433" i="6"/>
  <c r="M432" i="6"/>
  <c r="M431" i="6"/>
  <c r="M430" i="6"/>
  <c r="M429" i="6"/>
  <c r="M403" i="6"/>
  <c r="M402" i="6"/>
  <c r="M401" i="6"/>
  <c r="M389" i="6"/>
  <c r="M428" i="6"/>
  <c r="M427" i="6"/>
  <c r="M426" i="6"/>
  <c r="M425" i="6"/>
  <c r="M424" i="6"/>
  <c r="N423" i="6"/>
  <c r="M423" i="6"/>
  <c r="N422" i="6"/>
  <c r="M422" i="6"/>
  <c r="N411" i="6"/>
  <c r="M411" i="6"/>
  <c r="N410" i="6"/>
  <c r="M410" i="6"/>
  <c r="N409" i="6"/>
  <c r="M409" i="6"/>
  <c r="N408" i="6"/>
  <c r="M408" i="6"/>
  <c r="M421" i="6"/>
  <c r="N420" i="6"/>
  <c r="M420" i="6"/>
  <c r="N419" i="6"/>
  <c r="M419" i="6"/>
  <c r="M418" i="6"/>
  <c r="M417" i="6"/>
  <c r="M416" i="6"/>
  <c r="M415" i="6"/>
  <c r="M414" i="6"/>
  <c r="M413" i="6"/>
  <c r="M412" i="6"/>
  <c r="M407" i="6"/>
  <c r="M406" i="6"/>
  <c r="M405" i="6"/>
  <c r="M404" i="6"/>
  <c r="M400" i="6"/>
  <c r="M399" i="6"/>
  <c r="M398" i="6"/>
  <c r="M397" i="6"/>
  <c r="M396" i="6"/>
  <c r="M395" i="6"/>
  <c r="M394" i="6"/>
  <c r="M393" i="6"/>
  <c r="M392" i="6"/>
  <c r="M391" i="6"/>
  <c r="M390" i="6"/>
  <c r="M352" i="6"/>
  <c r="K351" i="6"/>
  <c r="M351" i="6" s="1"/>
  <c r="M350" i="6"/>
  <c r="M349" i="6"/>
  <c r="M348" i="6"/>
  <c r="M347" i="6"/>
  <c r="M346" i="6"/>
  <c r="M345" i="6"/>
  <c r="M344" i="6"/>
  <c r="K343" i="6"/>
  <c r="M342" i="6"/>
  <c r="M341" i="6"/>
  <c r="M340" i="6"/>
  <c r="M339" i="6"/>
  <c r="M338" i="6"/>
  <c r="K337" i="6"/>
  <c r="M336" i="6"/>
  <c r="M335" i="6"/>
  <c r="M334" i="6"/>
  <c r="M333" i="6"/>
  <c r="M332" i="6"/>
  <c r="M331" i="6"/>
  <c r="M330" i="6"/>
  <c r="M329" i="6"/>
  <c r="M328" i="6"/>
  <c r="M327" i="6"/>
  <c r="M326" i="6"/>
  <c r="M325" i="6"/>
  <c r="M324" i="6"/>
  <c r="M323" i="6"/>
  <c r="M520" i="6"/>
  <c r="M519" i="6"/>
  <c r="M518" i="6"/>
  <c r="M517" i="6"/>
  <c r="M274" i="6"/>
  <c r="M275" i="6" s="1"/>
  <c r="M516" i="6"/>
  <c r="M515" i="6"/>
  <c r="M514" i="6"/>
  <c r="M513" i="6"/>
  <c r="M512" i="6"/>
  <c r="M511" i="6"/>
  <c r="N983" i="6"/>
  <c r="M983" i="6"/>
  <c r="N982" i="6"/>
  <c r="M982" i="6"/>
  <c r="N981" i="6"/>
  <c r="M981" i="6"/>
  <c r="M980" i="6"/>
  <c r="M979" i="6"/>
  <c r="M978" i="6"/>
  <c r="N977" i="6"/>
  <c r="M977" i="6"/>
  <c r="M976" i="6"/>
  <c r="M975" i="6"/>
  <c r="M974" i="6"/>
  <c r="M973" i="6"/>
  <c r="M972" i="6"/>
  <c r="M971" i="6"/>
  <c r="M970" i="6"/>
  <c r="M969" i="6"/>
  <c r="M968" i="6"/>
  <c r="M967" i="6"/>
  <c r="M966" i="6"/>
  <c r="M965" i="6"/>
  <c r="M964" i="6"/>
  <c r="M963" i="6"/>
  <c r="M962" i="6"/>
  <c r="M961" i="6"/>
  <c r="M960" i="6"/>
  <c r="M959" i="6"/>
  <c r="M958" i="6"/>
  <c r="M957" i="6"/>
  <c r="M956" i="6"/>
  <c r="M955" i="6"/>
  <c r="M954" i="6"/>
  <c r="M953" i="6"/>
  <c r="M952" i="6"/>
  <c r="M951" i="6"/>
  <c r="M950" i="6"/>
  <c r="M949" i="6"/>
  <c r="M948" i="6"/>
  <c r="M947" i="6"/>
  <c r="M946" i="6"/>
  <c r="M945" i="6"/>
  <c r="M944" i="6"/>
  <c r="M943" i="6"/>
  <c r="M942" i="6"/>
  <c r="M941" i="6"/>
  <c r="M940" i="6"/>
  <c r="M939" i="6"/>
  <c r="M938" i="6"/>
  <c r="M937" i="6"/>
  <c r="M936" i="6"/>
  <c r="M935" i="6"/>
  <c r="M934" i="6"/>
  <c r="M933" i="6"/>
  <c r="M932" i="6"/>
  <c r="M931" i="6"/>
  <c r="M930" i="6"/>
  <c r="N929" i="6"/>
  <c r="M929" i="6"/>
  <c r="N928" i="6"/>
  <c r="M928" i="6"/>
  <c r="M927" i="6"/>
  <c r="M926" i="6"/>
  <c r="M925" i="6"/>
  <c r="M924" i="6"/>
  <c r="M923" i="6"/>
  <c r="M922" i="6"/>
  <c r="M921" i="6"/>
  <c r="M920" i="6"/>
  <c r="M919" i="6"/>
  <c r="M918" i="6"/>
  <c r="M917" i="6"/>
  <c r="M916" i="6"/>
  <c r="M915" i="6"/>
  <c r="M914" i="6"/>
  <c r="M913" i="6"/>
  <c r="M912" i="6"/>
  <c r="M911" i="6"/>
  <c r="M910" i="6"/>
  <c r="M1090" i="6"/>
  <c r="M1089" i="6"/>
  <c r="M1088" i="6"/>
  <c r="M1087" i="6"/>
  <c r="M1086" i="6"/>
  <c r="M1085" i="6"/>
  <c r="M1084" i="6"/>
  <c r="M1083" i="6"/>
  <c r="M1082" i="6"/>
  <c r="M1081" i="6"/>
  <c r="M1080" i="6"/>
  <c r="M1079" i="6"/>
  <c r="M1078" i="6"/>
  <c r="M1077" i="6"/>
  <c r="M1076" i="6"/>
  <c r="M1075" i="6"/>
  <c r="M1074" i="6"/>
  <c r="M1073" i="6"/>
  <c r="M1072" i="6"/>
  <c r="M1071" i="6"/>
  <c r="M1070" i="6"/>
  <c r="M720" i="6"/>
  <c r="M719" i="6"/>
  <c r="M718" i="6"/>
  <c r="M717" i="6"/>
  <c r="M716" i="6"/>
  <c r="M715" i="6"/>
  <c r="M714" i="6"/>
  <c r="M713" i="6"/>
  <c r="M712" i="6"/>
  <c r="M711" i="6"/>
  <c r="M710" i="6"/>
  <c r="M709" i="6"/>
  <c r="M708" i="6"/>
  <c r="M707" i="6"/>
  <c r="M706" i="6"/>
  <c r="M705" i="6"/>
  <c r="M704" i="6"/>
  <c r="M703" i="6"/>
  <c r="M702" i="6"/>
  <c r="M701" i="6"/>
  <c r="M700" i="6"/>
  <c r="M699" i="6"/>
  <c r="M698" i="6"/>
  <c r="M697" i="6"/>
  <c r="M696" i="6"/>
  <c r="M695" i="6"/>
  <c r="M694" i="6"/>
  <c r="M1047" i="6"/>
  <c r="M1046" i="6"/>
  <c r="M1045" i="6"/>
  <c r="M1044" i="6"/>
  <c r="M1043" i="6"/>
  <c r="K1042" i="6"/>
  <c r="M1042" i="6" s="1"/>
  <c r="M1041" i="6"/>
  <c r="K1040" i="6"/>
  <c r="M1040" i="6" s="1"/>
  <c r="K1039" i="6"/>
  <c r="M1039" i="6" s="1"/>
  <c r="M1038" i="6"/>
  <c r="K1037" i="6"/>
  <c r="M1037" i="6" s="1"/>
  <c r="M1036" i="6"/>
  <c r="M1035" i="6"/>
  <c r="K1034" i="6"/>
  <c r="M1034" i="6" s="1"/>
  <c r="M1033" i="6"/>
  <c r="K1032" i="6"/>
  <c r="M1032" i="6" s="1"/>
  <c r="M1031" i="6"/>
  <c r="M1030" i="6"/>
  <c r="M1029" i="6"/>
  <c r="M1028" i="6"/>
  <c r="M1027" i="6"/>
  <c r="M1026" i="6"/>
  <c r="M1025" i="6"/>
  <c r="M1024" i="6"/>
  <c r="M1023" i="6"/>
  <c r="M1022" i="6"/>
  <c r="M1021" i="6"/>
  <c r="M1020" i="6"/>
  <c r="M1019" i="6"/>
  <c r="K1018" i="6"/>
  <c r="M1018" i="6" s="1"/>
  <c r="K1017" i="6"/>
  <c r="M1017" i="6" s="1"/>
  <c r="M1016" i="6"/>
  <c r="M1015" i="6"/>
  <c r="K1014" i="6"/>
  <c r="M1014" i="6" s="1"/>
  <c r="M1013" i="6"/>
  <c r="M1012" i="6"/>
  <c r="M1011" i="6"/>
  <c r="M1010" i="6"/>
  <c r="M1009" i="6"/>
  <c r="M1008" i="6"/>
  <c r="M1007" i="6"/>
  <c r="M1006" i="6"/>
  <c r="K1005" i="6"/>
  <c r="M1005" i="6" s="1"/>
  <c r="M1004" i="6"/>
  <c r="M1003" i="6"/>
  <c r="M1002" i="6"/>
  <c r="M1001" i="6"/>
  <c r="M1000" i="6"/>
  <c r="M999" i="6"/>
  <c r="M998" i="6"/>
  <c r="M997" i="6"/>
  <c r="M996" i="6"/>
  <c r="M995" i="6"/>
  <c r="M994" i="6"/>
  <c r="K993" i="6"/>
  <c r="M993" i="6" s="1"/>
  <c r="M992" i="6"/>
  <c r="M991" i="6"/>
  <c r="M990" i="6"/>
  <c r="M989" i="6"/>
  <c r="M988" i="6"/>
  <c r="K987" i="6"/>
  <c r="M987" i="6" s="1"/>
  <c r="K986" i="6"/>
  <c r="M985" i="6"/>
  <c r="K358" i="6"/>
  <c r="M358" i="6" s="1"/>
  <c r="K357" i="6"/>
  <c r="K359" i="6" s="1"/>
  <c r="M356" i="6"/>
  <c r="M355" i="6"/>
  <c r="M354" i="6"/>
  <c r="M908" i="6"/>
  <c r="M907" i="6"/>
  <c r="M906" i="6"/>
  <c r="M905" i="6"/>
  <c r="M904" i="6"/>
  <c r="M903" i="6"/>
  <c r="M902" i="6"/>
  <c r="N901" i="6"/>
  <c r="M901" i="6"/>
  <c r="M900" i="6"/>
  <c r="M899" i="6"/>
  <c r="M898" i="6"/>
  <c r="M897" i="6"/>
  <c r="M896" i="6"/>
  <c r="M895" i="6"/>
  <c r="M894" i="6"/>
  <c r="M893" i="6"/>
  <c r="M892" i="6"/>
  <c r="M891" i="6"/>
  <c r="M890" i="6"/>
  <c r="M889" i="6"/>
  <c r="M888" i="6"/>
  <c r="M887" i="6"/>
  <c r="M886" i="6"/>
  <c r="M885" i="6"/>
  <c r="M884" i="6"/>
  <c r="M883" i="6"/>
  <c r="N882" i="6"/>
  <c r="M882" i="6"/>
  <c r="N881" i="6"/>
  <c r="M881" i="6"/>
  <c r="N880" i="6"/>
  <c r="M880" i="6"/>
  <c r="M879" i="6"/>
  <c r="M878" i="6"/>
  <c r="M877" i="6"/>
  <c r="M876" i="6"/>
  <c r="M875" i="6"/>
  <c r="M874" i="6"/>
  <c r="M873" i="6"/>
  <c r="M872" i="6"/>
  <c r="N871" i="6"/>
  <c r="M871" i="6"/>
  <c r="N870" i="6"/>
  <c r="M870" i="6"/>
  <c r="M869" i="6"/>
  <c r="M868" i="6"/>
  <c r="M867" i="6"/>
  <c r="M866" i="6"/>
  <c r="M865" i="6"/>
  <c r="M864" i="6"/>
  <c r="M863" i="6"/>
  <c r="M862" i="6"/>
  <c r="M861" i="6"/>
  <c r="M860" i="6"/>
  <c r="M859" i="6"/>
  <c r="M858" i="6"/>
  <c r="M857" i="6"/>
  <c r="M856" i="6"/>
  <c r="M855" i="6"/>
  <c r="M854" i="6"/>
  <c r="M853" i="6"/>
  <c r="M852" i="6"/>
  <c r="M851" i="6"/>
  <c r="M850" i="6"/>
  <c r="M849" i="6"/>
  <c r="M848" i="6"/>
  <c r="M847" i="6"/>
  <c r="M846" i="6"/>
  <c r="M845" i="6"/>
  <c r="M844" i="6"/>
  <c r="M843" i="6"/>
  <c r="M842" i="6"/>
  <c r="M841" i="6"/>
  <c r="M840" i="6"/>
  <c r="M839" i="6"/>
  <c r="M838" i="6"/>
  <c r="M837" i="6"/>
  <c r="M836" i="6"/>
  <c r="M835" i="6"/>
  <c r="M834" i="6"/>
  <c r="M833" i="6"/>
  <c r="M832" i="6"/>
  <c r="M831" i="6"/>
  <c r="M830" i="6"/>
  <c r="M829" i="6"/>
  <c r="M828" i="6"/>
  <c r="M827" i="6"/>
  <c r="M826" i="6"/>
  <c r="M825" i="6"/>
  <c r="M824" i="6"/>
  <c r="M823" i="6"/>
  <c r="M822" i="6"/>
  <c r="M821" i="6"/>
  <c r="M820" i="6"/>
  <c r="M819" i="6"/>
  <c r="M818" i="6"/>
  <c r="M817" i="6"/>
  <c r="K816" i="6"/>
  <c r="K909" i="6" s="1"/>
  <c r="M815" i="6"/>
  <c r="M814" i="6"/>
  <c r="M319" i="6"/>
  <c r="M318" i="6"/>
  <c r="M317" i="6"/>
  <c r="M316" i="6"/>
  <c r="M315" i="6"/>
  <c r="M314" i="6"/>
  <c r="M313" i="6"/>
  <c r="M312" i="6"/>
  <c r="M311" i="6"/>
  <c r="M310" i="6"/>
  <c r="M309" i="6"/>
  <c r="M308" i="6"/>
  <c r="M307" i="6"/>
  <c r="M306" i="6"/>
  <c r="M305" i="6"/>
  <c r="K304" i="6"/>
  <c r="K320" i="6" s="1"/>
  <c r="M303" i="6"/>
  <c r="M302" i="6"/>
  <c r="M301" i="6"/>
  <c r="M300" i="6"/>
  <c r="M299" i="6"/>
  <c r="M298" i="6"/>
  <c r="M297" i="6"/>
  <c r="M86" i="6"/>
  <c r="M87" i="6" s="1"/>
  <c r="M772" i="6"/>
  <c r="M771" i="6"/>
  <c r="M770" i="6"/>
  <c r="M769" i="6"/>
  <c r="M768" i="6"/>
  <c r="M767" i="6"/>
  <c r="M766" i="6"/>
  <c r="M765" i="6"/>
  <c r="M764" i="6"/>
  <c r="M763" i="6"/>
  <c r="M762" i="6"/>
  <c r="M761" i="6"/>
  <c r="M760" i="6"/>
  <c r="M759" i="6"/>
  <c r="M758" i="6"/>
  <c r="M757" i="6"/>
  <c r="M756" i="6"/>
  <c r="M755" i="6"/>
  <c r="M754" i="6"/>
  <c r="M753" i="6"/>
  <c r="M752" i="6"/>
  <c r="M751" i="6"/>
  <c r="M750" i="6"/>
  <c r="M749" i="6"/>
  <c r="M748" i="6"/>
  <c r="M747" i="6"/>
  <c r="M746" i="6"/>
  <c r="M745" i="6"/>
  <c r="M744" i="6"/>
  <c r="M743" i="6"/>
  <c r="M742" i="6"/>
  <c r="M741" i="6"/>
  <c r="M740" i="6"/>
  <c r="M739" i="6"/>
  <c r="M738" i="6"/>
  <c r="M737" i="6"/>
  <c r="M736" i="6"/>
  <c r="M735" i="6"/>
  <c r="M734" i="6"/>
  <c r="M733" i="6"/>
  <c r="M732" i="6"/>
  <c r="M731" i="6"/>
  <c r="M730" i="6"/>
  <c r="M729" i="6"/>
  <c r="M728" i="6"/>
  <c r="M727" i="6"/>
  <c r="M726" i="6"/>
  <c r="M725" i="6"/>
  <c r="M724" i="6"/>
  <c r="M723" i="6"/>
  <c r="M722" i="6"/>
  <c r="M1172" i="6"/>
  <c r="M1171" i="6"/>
  <c r="M1170" i="6"/>
  <c r="M1169" i="6"/>
  <c r="M1168" i="6"/>
  <c r="M1167" i="6"/>
  <c r="M1166" i="6"/>
  <c r="M1165" i="6"/>
  <c r="M1164" i="6"/>
  <c r="M1163" i="6"/>
  <c r="M1162" i="6"/>
  <c r="M1161" i="6"/>
  <c r="M1160" i="6"/>
  <c r="M1159" i="6"/>
  <c r="M1158" i="6"/>
  <c r="M1157" i="6"/>
  <c r="M1156" i="6"/>
  <c r="M1155" i="6"/>
  <c r="M1154" i="6"/>
  <c r="M1153" i="6"/>
  <c r="M1152" i="6"/>
  <c r="M1151" i="6"/>
  <c r="M1150" i="6"/>
  <c r="M1149" i="6"/>
  <c r="M1148" i="6"/>
  <c r="M1147" i="6"/>
  <c r="M1146" i="6"/>
  <c r="M1145" i="6"/>
  <c r="M1144" i="6"/>
  <c r="M1143" i="6"/>
  <c r="M1142" i="6"/>
  <c r="M1141" i="6"/>
  <c r="M1140" i="6"/>
  <c r="M1139" i="6"/>
  <c r="M1138" i="6"/>
  <c r="M1137" i="6"/>
  <c r="M1136" i="6"/>
  <c r="M1135" i="6"/>
  <c r="M1134" i="6"/>
  <c r="M1133" i="6"/>
  <c r="M1132" i="6"/>
  <c r="M1131" i="6"/>
  <c r="M1130" i="6"/>
  <c r="M1129" i="6"/>
  <c r="M1128" i="6"/>
  <c r="M1127" i="6"/>
  <c r="M1126" i="6"/>
  <c r="M1125" i="6"/>
  <c r="M1124" i="6"/>
  <c r="M1123" i="6"/>
  <c r="M1122" i="6"/>
  <c r="M1121" i="6"/>
  <c r="M1120" i="6"/>
  <c r="M1119" i="6"/>
  <c r="M1118" i="6"/>
  <c r="M1117" i="6"/>
  <c r="M1116" i="6"/>
  <c r="M1115" i="6"/>
  <c r="M1114" i="6"/>
  <c r="M1113" i="6"/>
  <c r="M1112" i="6"/>
  <c r="M1111" i="6"/>
  <c r="M1110" i="6"/>
  <c r="M1109" i="6"/>
  <c r="M1108" i="6"/>
  <c r="M1107" i="6"/>
  <c r="M1106" i="6"/>
  <c r="M1105" i="6"/>
  <c r="M1104" i="6"/>
  <c r="M1103" i="6"/>
  <c r="M1102" i="6"/>
  <c r="M1101" i="6"/>
  <c r="M1100" i="6"/>
  <c r="M1099" i="6"/>
  <c r="M1098" i="6"/>
  <c r="M1097" i="6"/>
  <c r="M1096" i="6"/>
  <c r="M1095" i="6"/>
  <c r="M1094" i="6"/>
  <c r="M1093" i="6"/>
  <c r="M1092" i="6"/>
  <c r="M692" i="6"/>
  <c r="M691" i="6"/>
  <c r="M690" i="6"/>
  <c r="M689" i="6"/>
  <c r="K688" i="6"/>
  <c r="K693" i="6" s="1"/>
  <c r="M687" i="6"/>
  <c r="M686" i="6"/>
  <c r="M685" i="6"/>
  <c r="M684" i="6"/>
  <c r="M683" i="6"/>
  <c r="M682" i="6"/>
  <c r="M681" i="6"/>
  <c r="M680" i="6"/>
  <c r="M679" i="6"/>
  <c r="M678" i="6"/>
  <c r="M677" i="6"/>
  <c r="M676" i="6"/>
  <c r="M675" i="6"/>
  <c r="M674" i="6"/>
  <c r="M673" i="6"/>
  <c r="M672" i="6"/>
  <c r="M671" i="6"/>
  <c r="M670" i="6"/>
  <c r="M669" i="6"/>
  <c r="M668" i="6"/>
  <c r="M667" i="6"/>
  <c r="M666" i="6"/>
  <c r="M483" i="6"/>
  <c r="M482" i="6"/>
  <c r="M481" i="6"/>
  <c r="M480" i="6"/>
  <c r="M479" i="6"/>
  <c r="M478" i="6"/>
  <c r="M477" i="6"/>
  <c r="M476" i="6"/>
  <c r="M475" i="6"/>
  <c r="M474" i="6"/>
  <c r="M473" i="6"/>
  <c r="M472" i="6"/>
  <c r="M471" i="6"/>
  <c r="M470" i="6"/>
  <c r="M469" i="6"/>
  <c r="M468" i="6"/>
  <c r="M467" i="6"/>
  <c r="M466" i="6"/>
  <c r="M465" i="6"/>
  <c r="M464" i="6"/>
  <c r="M463" i="6"/>
  <c r="N462" i="6"/>
  <c r="M462" i="6"/>
  <c r="N461" i="6"/>
  <c r="M461" i="6"/>
  <c r="M460" i="6"/>
  <c r="N459" i="6"/>
  <c r="M459" i="6"/>
  <c r="M458" i="6"/>
  <c r="M457" i="6"/>
  <c r="M456" i="6"/>
  <c r="K455" i="6"/>
  <c r="M455" i="6" s="1"/>
  <c r="M454" i="6"/>
  <c r="M453" i="6"/>
  <c r="M452" i="6"/>
  <c r="M451" i="6"/>
  <c r="K450" i="6"/>
  <c r="N449" i="6"/>
  <c r="M449" i="6"/>
  <c r="M448" i="6"/>
  <c r="M447" i="6"/>
  <c r="M446" i="6"/>
  <c r="K445" i="6"/>
  <c r="M129" i="6" l="1"/>
  <c r="M39" i="6"/>
  <c r="K32" i="6"/>
  <c r="M61" i="6"/>
  <c r="L66" i="6"/>
  <c r="M97" i="6"/>
  <c r="M799" i="6"/>
  <c r="L813" i="6"/>
  <c r="M337" i="6"/>
  <c r="K353" i="6"/>
  <c r="M66" i="6"/>
  <c r="M279" i="6"/>
  <c r="M293" i="6" s="1"/>
  <c r="L293" i="6"/>
  <c r="M445" i="6"/>
  <c r="K484" i="6"/>
  <c r="M488" i="6"/>
  <c r="L505" i="6"/>
  <c r="M623" i="6"/>
  <c r="L665" i="6"/>
  <c r="M568" i="6"/>
  <c r="M587" i="6" s="1"/>
  <c r="L587" i="6"/>
  <c r="M1069" i="6"/>
  <c r="M136" i="6"/>
  <c r="M139" i="6" s="1"/>
  <c r="K139" i="6"/>
  <c r="M552" i="6"/>
  <c r="L562" i="6"/>
  <c r="K1048" i="6"/>
  <c r="M532" i="6"/>
  <c r="L546" i="6"/>
  <c r="M1056" i="6"/>
  <c r="L1069" i="6"/>
  <c r="M614" i="6"/>
  <c r="K665" i="6"/>
  <c r="M360" i="6"/>
  <c r="K388" i="6"/>
  <c r="M506" i="6"/>
  <c r="M510" i="6" s="1"/>
  <c r="L510" i="6"/>
  <c r="M1173" i="6"/>
  <c r="M721" i="6"/>
  <c r="M984" i="6"/>
  <c r="M505" i="6"/>
  <c r="M17" i="6"/>
  <c r="M813" i="6"/>
  <c r="M79" i="6"/>
  <c r="M26" i="6"/>
  <c r="M562" i="6"/>
  <c r="M773" i="6"/>
  <c r="M521" i="6"/>
  <c r="M254" i="6"/>
  <c r="M200" i="6"/>
  <c r="M1091" i="6"/>
  <c r="M546" i="6"/>
  <c r="M603" i="6"/>
  <c r="M165" i="6"/>
  <c r="M388" i="6"/>
  <c r="M118" i="6"/>
  <c r="M268" i="6"/>
  <c r="M85" i="6"/>
  <c r="M107" i="6"/>
  <c r="M444" i="6"/>
  <c r="M227" i="6"/>
  <c r="M203" i="6"/>
  <c r="M119" i="6"/>
  <c r="M125" i="6" s="1"/>
  <c r="M688" i="6"/>
  <c r="M693" i="6" s="1"/>
  <c r="M304" i="6"/>
  <c r="M320" i="6" s="1"/>
  <c r="M28" i="6"/>
  <c r="M32" i="6" s="1"/>
  <c r="M357" i="6"/>
  <c r="M359" i="6" s="1"/>
  <c r="M816" i="6"/>
  <c r="M909" i="6" s="1"/>
  <c r="M619" i="6"/>
  <c r="M986" i="6"/>
  <c r="M1048" i="6" s="1"/>
  <c r="M450" i="6"/>
  <c r="M484" i="6" s="1"/>
  <c r="M343" i="6"/>
  <c r="M361" i="6"/>
  <c r="M665" i="6" l="1"/>
  <c r="M353" i="6"/>
</calcChain>
</file>

<file path=xl/sharedStrings.xml><?xml version="1.0" encoding="utf-8"?>
<sst xmlns="http://schemas.openxmlformats.org/spreadsheetml/2006/main" count="6788" uniqueCount="3019">
  <si>
    <t>총번</t>
    <phoneticPr fontId="4" type="noConversion"/>
  </si>
  <si>
    <t>연번</t>
    <phoneticPr fontId="4" type="noConversion"/>
  </si>
  <si>
    <t>신청과</t>
    <phoneticPr fontId="4" type="noConversion"/>
  </si>
  <si>
    <t>보험코드</t>
    <phoneticPr fontId="4" type="noConversion"/>
  </si>
  <si>
    <t>품명</t>
    <phoneticPr fontId="4" type="noConversion"/>
  </si>
  <si>
    <t>규격</t>
    <phoneticPr fontId="4" type="noConversion"/>
  </si>
  <si>
    <t>제조사</t>
    <phoneticPr fontId="4" type="noConversion"/>
  </si>
  <si>
    <t>단위</t>
    <phoneticPr fontId="4" type="noConversion"/>
  </si>
  <si>
    <t>비고</t>
    <phoneticPr fontId="4" type="noConversion"/>
  </si>
  <si>
    <t>공급,수술실</t>
    <phoneticPr fontId="4" type="noConversion"/>
  </si>
  <si>
    <t>comply steam indicater 1/2"(소독테이프)</t>
  </si>
  <si>
    <t>1/2"</t>
  </si>
  <si>
    <t xml:space="preserve"> J-Health</t>
    <phoneticPr fontId="4" type="noConversion"/>
  </si>
  <si>
    <t xml:space="preserve"> 롤 </t>
  </si>
  <si>
    <t>공급실</t>
    <phoneticPr fontId="4" type="noConversion"/>
  </si>
  <si>
    <t>BM5107EM</t>
  </si>
  <si>
    <t>Durapore surgical tape</t>
  </si>
  <si>
    <t>1538-1, 1583-2</t>
  </si>
  <si>
    <t xml:space="preserve"> 갑 </t>
  </si>
  <si>
    <t>비급여</t>
    <phoneticPr fontId="4" type="noConversion"/>
  </si>
  <si>
    <t>K0001006</t>
  </si>
  <si>
    <t>E.K.G electrode(성인용, 소아용)</t>
  </si>
  <si>
    <t>2660-3/3ea</t>
  </si>
  <si>
    <t xml:space="preserve"> pack </t>
  </si>
  <si>
    <t>E.O Tape</t>
  </si>
  <si>
    <t>3/4".1</t>
    <phoneticPr fontId="4" type="noConversion"/>
  </si>
  <si>
    <t>N95 Respirator Mask (가로형)</t>
  </si>
  <si>
    <t>1870+</t>
  </si>
  <si>
    <t>개</t>
    <phoneticPr fontId="4" type="noConversion"/>
  </si>
  <si>
    <t xml:space="preserve">paper plaster(살색) </t>
  </si>
  <si>
    <t>1533-0, 1533-1</t>
    <phoneticPr fontId="4" type="noConversion"/>
  </si>
  <si>
    <t xml:space="preserve">Plaster Paper(종이, 흰색) </t>
  </si>
  <si>
    <t>1530-0, 1530-1</t>
    <phoneticPr fontId="4" type="noConversion"/>
  </si>
  <si>
    <t>수술실/공급실</t>
    <phoneticPr fontId="4" type="noConversion"/>
  </si>
  <si>
    <t>sealer ink ribbon (실링기)</t>
  </si>
  <si>
    <t xml:space="preserve"> 개 </t>
  </si>
  <si>
    <t>strip chemical indicator(E.O)</t>
  </si>
  <si>
    <t>양면/5*500,CD16</t>
  </si>
  <si>
    <t>갑</t>
    <phoneticPr fontId="4" type="noConversion"/>
  </si>
  <si>
    <t>strip chemical indicator(스팀)</t>
  </si>
  <si>
    <t>양면/5*500,CD29</t>
  </si>
  <si>
    <t>Surgical Mask N95 (원형)</t>
  </si>
  <si>
    <t>K6100003</t>
  </si>
  <si>
    <t>Tegaderm (1626)</t>
  </si>
  <si>
    <t>1626(10cm * 12cm)</t>
  </si>
  <si>
    <t xml:space="preserve"> 갑(50개) </t>
  </si>
  <si>
    <t>K6100005</t>
  </si>
  <si>
    <t>Tegaderm (1628)</t>
  </si>
  <si>
    <t>1628(15cm * 20cm)</t>
  </si>
  <si>
    <t xml:space="preserve"> 갑(10개) </t>
    <phoneticPr fontId="4" type="noConversion"/>
  </si>
  <si>
    <t>M6730066</t>
    <phoneticPr fontId="4" type="noConversion"/>
  </si>
  <si>
    <t>Tegaderm IV</t>
  </si>
  <si>
    <t xml:space="preserve"> box (100개)</t>
    <phoneticPr fontId="4" type="noConversion"/>
  </si>
  <si>
    <t>transpore-tape</t>
  </si>
  <si>
    <t>1527-1</t>
  </si>
  <si>
    <t>라벨인디케이터(수동)</t>
  </si>
  <si>
    <t>E.O가스용/1000-1E</t>
  </si>
  <si>
    <t>스팀용/1000-1S</t>
  </si>
  <si>
    <t>BK7101EA</t>
    <phoneticPr fontId="4" type="noConversion"/>
  </si>
  <si>
    <t>코반 (1581)</t>
  </si>
  <si>
    <t>M6720066</t>
    <phoneticPr fontId="4" type="noConversion"/>
  </si>
  <si>
    <t>Tegaderm CHG</t>
    <phoneticPr fontId="4" type="noConversion"/>
  </si>
  <si>
    <t>1657R,1658R,1659R,1660R</t>
    <phoneticPr fontId="4" type="noConversion"/>
  </si>
  <si>
    <t>신규</t>
    <phoneticPr fontId="4" type="noConversion"/>
  </si>
  <si>
    <t>M3030322</t>
  </si>
  <si>
    <t>Aquacel  Estra</t>
  </si>
  <si>
    <t>10*10</t>
  </si>
  <si>
    <t xml:space="preserve">convatec </t>
  </si>
  <si>
    <t>M3030323</t>
  </si>
  <si>
    <t>15*15</t>
  </si>
  <si>
    <t>M3030321</t>
  </si>
  <si>
    <t>5*5</t>
  </si>
  <si>
    <t>BM5002XW</t>
  </si>
  <si>
    <t>BSC T-sheet</t>
  </si>
  <si>
    <t>5*30</t>
  </si>
  <si>
    <t>수술실</t>
    <phoneticPr fontId="4" type="noConversion"/>
  </si>
  <si>
    <t>M2044041</t>
    <phoneticPr fontId="4" type="noConversion"/>
  </si>
  <si>
    <t xml:space="preserve">CAIMAN5 36CM </t>
    <phoneticPr fontId="4" type="noConversion"/>
  </si>
  <si>
    <t>PL720SU</t>
  </si>
  <si>
    <t xml:space="preserve">  개  </t>
  </si>
  <si>
    <t>N0101513</t>
    <phoneticPr fontId="4" type="noConversion"/>
  </si>
  <si>
    <t xml:space="preserve">C-section w/Pouch Pack </t>
    <phoneticPr fontId="4" type="noConversion"/>
  </si>
  <si>
    <t>70-3032-SK</t>
  </si>
  <si>
    <t>Disposible Fully Insulated Curved Scissors</t>
    <phoneticPr fontId="4" type="noConversion"/>
  </si>
  <si>
    <t>전규격</t>
  </si>
  <si>
    <t>개</t>
  </si>
  <si>
    <t>Disposible Fully Insulated Dissecting Forceps</t>
    <phoneticPr fontId="4" type="noConversion"/>
  </si>
  <si>
    <t>Disposible Fully Insulated Grasping Forceps</t>
  </si>
  <si>
    <t>LEAD SEAL W/ADHESIVE LAYER WHITE(container indicator</t>
    <phoneticPr fontId="4" type="noConversion"/>
  </si>
  <si>
    <t>JG744</t>
    <phoneticPr fontId="11" type="noConversion"/>
  </si>
  <si>
    <t>M3010306</t>
  </si>
  <si>
    <t xml:space="preserve">duoderm CGF </t>
  </si>
  <si>
    <t>M3010307</t>
  </si>
  <si>
    <t>M3010308</t>
  </si>
  <si>
    <t>20*20</t>
    <phoneticPr fontId="4" type="noConversion"/>
  </si>
  <si>
    <t>M3010305</t>
    <phoneticPr fontId="4" type="noConversion"/>
  </si>
  <si>
    <t>duoderm extra thin</t>
  </si>
  <si>
    <t>M3010304</t>
  </si>
  <si>
    <t xml:space="preserve">duoderm extra thin </t>
  </si>
  <si>
    <t>M3010311</t>
  </si>
  <si>
    <t>Duoderm gel</t>
  </si>
  <si>
    <t>15g</t>
  </si>
  <si>
    <t xml:space="preserve">EASY UP </t>
    <phoneticPr fontId="4" type="noConversion"/>
  </si>
  <si>
    <t>K3002017</t>
  </si>
  <si>
    <t xml:space="preserve">EZBAC </t>
    <phoneticPr fontId="4" type="noConversion"/>
  </si>
  <si>
    <t>200M/200L</t>
  </si>
  <si>
    <t>외과</t>
    <phoneticPr fontId="4" type="noConversion"/>
  </si>
  <si>
    <t>M0012034</t>
    <phoneticPr fontId="4" type="noConversion"/>
  </si>
  <si>
    <t>INTRO needle</t>
  </si>
  <si>
    <t>16*101cm</t>
    <phoneticPr fontId="4" type="noConversion"/>
  </si>
  <si>
    <t xml:space="preserve">Laparoscopy pack </t>
    <phoneticPr fontId="4" type="noConversion"/>
  </si>
  <si>
    <t>80-1034-sk</t>
  </si>
  <si>
    <t>LAP-IX L-hook Trumpet Type</t>
  </si>
  <si>
    <t>일체형</t>
  </si>
  <si>
    <t>LAP-IX Spatula Trumpet Type</t>
  </si>
  <si>
    <t>수술실/분만실</t>
    <phoneticPr fontId="4" type="noConversion"/>
  </si>
  <si>
    <t>N0101613</t>
  </si>
  <si>
    <t>OB Pack</t>
  </si>
  <si>
    <t>70-3040-S</t>
  </si>
  <si>
    <t>M2052081</t>
    <phoneticPr fontId="4" type="noConversion"/>
  </si>
  <si>
    <t xml:space="preserve">S PORT TROCAR </t>
    <phoneticPr fontId="4" type="noConversion"/>
  </si>
  <si>
    <t>M0011034</t>
    <phoneticPr fontId="4" type="noConversion"/>
  </si>
  <si>
    <t>SEMICUT 11cm</t>
  </si>
  <si>
    <t>Sling pack</t>
    <phoneticPr fontId="4" type="noConversion"/>
  </si>
  <si>
    <t>80-3015-SK</t>
    <phoneticPr fontId="4" type="noConversion"/>
  </si>
  <si>
    <t>N0101513</t>
    <phoneticPr fontId="11" type="noConversion"/>
  </si>
  <si>
    <t>TVH pack</t>
    <phoneticPr fontId="11" type="noConversion"/>
  </si>
  <si>
    <t>80-3001-SK</t>
    <phoneticPr fontId="11" type="noConversion"/>
  </si>
  <si>
    <t>1회용 needle(long)</t>
  </si>
  <si>
    <t>23G</t>
  </si>
  <si>
    <t>Cotton paper (Sterile)</t>
  </si>
  <si>
    <t xml:space="preserve"> 10*10mm </t>
  </si>
  <si>
    <t xml:space="preserve"> 팩 </t>
  </si>
  <si>
    <t xml:space="preserve"> 13*38mm </t>
  </si>
  <si>
    <t>25*75mm</t>
  </si>
  <si>
    <t>Gauze Ball</t>
  </si>
  <si>
    <t>22*25</t>
  </si>
  <si>
    <t xml:space="preserve"> 봉 </t>
    <phoneticPr fontId="4" type="noConversion"/>
  </si>
  <si>
    <t>I.V set (pump용) non-DEHP</t>
  </si>
  <si>
    <t>바늘 무</t>
  </si>
  <si>
    <t xml:space="preserve"> 봉 </t>
  </si>
  <si>
    <t>M3030701</t>
  </si>
  <si>
    <t>Medifoam 2mm</t>
  </si>
  <si>
    <t>M3030701</t>
    <phoneticPr fontId="4" type="noConversion"/>
  </si>
  <si>
    <t>Medifoam 5mm</t>
  </si>
  <si>
    <t>M3030703</t>
  </si>
  <si>
    <t xml:space="preserve">Medifoam 5mm </t>
    <phoneticPr fontId="4" type="noConversion"/>
  </si>
  <si>
    <t>20*20</t>
  </si>
  <si>
    <t>BM5003JQ</t>
  </si>
  <si>
    <t>Mepiform</t>
    <phoneticPr fontId="4" type="noConversion"/>
  </si>
  <si>
    <t>5*7.5</t>
    <phoneticPr fontId="4" type="noConversion"/>
  </si>
  <si>
    <t>M3031301</t>
  </si>
  <si>
    <t xml:space="preserve">mepilex </t>
  </si>
  <si>
    <t>10*10cm</t>
  </si>
  <si>
    <t xml:space="preserve"> 장  </t>
  </si>
  <si>
    <t>M3031303</t>
    <phoneticPr fontId="4" type="noConversion"/>
  </si>
  <si>
    <t>15*15cm</t>
  </si>
  <si>
    <t>M3031001</t>
  </si>
  <si>
    <t>Mepilex Border Flex</t>
  </si>
  <si>
    <t>M3031201</t>
    <phoneticPr fontId="12" type="noConversion"/>
  </si>
  <si>
    <t>7.5*7.5</t>
  </si>
  <si>
    <t>M3203106</t>
    <phoneticPr fontId="4" type="noConversion"/>
  </si>
  <si>
    <t>Mepilex Border Post-op</t>
  </si>
  <si>
    <t>10*15</t>
  </si>
  <si>
    <t>M3204106</t>
    <phoneticPr fontId="4" type="noConversion"/>
  </si>
  <si>
    <t>10*20</t>
  </si>
  <si>
    <t>M3202106</t>
  </si>
  <si>
    <t>6*8</t>
  </si>
  <si>
    <t>M3202106</t>
    <phoneticPr fontId="4" type="noConversion"/>
  </si>
  <si>
    <t>9*10</t>
  </si>
  <si>
    <t>M3030989</t>
    <phoneticPr fontId="4" type="noConversion"/>
  </si>
  <si>
    <t>Mepilex Border Sacrum</t>
  </si>
  <si>
    <t>16*20</t>
  </si>
  <si>
    <t>K4062002</t>
    <phoneticPr fontId="4" type="noConversion"/>
  </si>
  <si>
    <t>Nasal RAE Tracheal tube</t>
    <phoneticPr fontId="4" type="noConversion"/>
  </si>
  <si>
    <t>전규격</t>
    <phoneticPr fontId="4" type="noConversion"/>
  </si>
  <si>
    <t>COVIDIEN</t>
    <phoneticPr fontId="4" type="noConversion"/>
  </si>
  <si>
    <t>K8502213</t>
  </si>
  <si>
    <t>Nemoa Cast</t>
  </si>
  <si>
    <t>2*4</t>
  </si>
  <si>
    <t>K8503213</t>
    <phoneticPr fontId="4" type="noConversion"/>
  </si>
  <si>
    <t>3*4</t>
  </si>
  <si>
    <t>K8504213</t>
    <phoneticPr fontId="4" type="noConversion"/>
  </si>
  <si>
    <t>4*4</t>
  </si>
  <si>
    <t>K8505213</t>
    <phoneticPr fontId="4" type="noConversion"/>
  </si>
  <si>
    <t>5*4</t>
  </si>
  <si>
    <t>K8301313</t>
  </si>
  <si>
    <t>Nemoa Splint</t>
  </si>
  <si>
    <t>2*10</t>
  </si>
  <si>
    <t>K8305313</t>
  </si>
  <si>
    <t>3*12</t>
  </si>
  <si>
    <t>K8310313</t>
    <phoneticPr fontId="4" type="noConversion"/>
  </si>
  <si>
    <t>3*35</t>
  </si>
  <si>
    <t>K8312313</t>
  </si>
  <si>
    <t>4*15</t>
  </si>
  <si>
    <t>K8314313</t>
  </si>
  <si>
    <t>4*30</t>
  </si>
  <si>
    <t>K8321313</t>
    <phoneticPr fontId="4" type="noConversion"/>
  </si>
  <si>
    <t>K8324313</t>
  </si>
  <si>
    <t>5*45</t>
  </si>
  <si>
    <t>K8325313</t>
    <phoneticPr fontId="4" type="noConversion"/>
  </si>
  <si>
    <t>6*30</t>
  </si>
  <si>
    <t>K8326313</t>
  </si>
  <si>
    <t>6*45</t>
  </si>
  <si>
    <t>Pack gauze</t>
  </si>
  <si>
    <t>28 x 28 x 100</t>
  </si>
  <si>
    <t>갑</t>
  </si>
  <si>
    <t>40 x 40 x 100</t>
  </si>
  <si>
    <t>BC1000RN</t>
    <phoneticPr fontId="4" type="noConversion"/>
  </si>
  <si>
    <t>Rassett(라셋)-압박용밴드와팩2개</t>
    <phoneticPr fontId="4" type="noConversion"/>
  </si>
  <si>
    <t>RST-KSM</t>
    <phoneticPr fontId="4" type="noConversion"/>
  </si>
  <si>
    <t>K8503128</t>
    <phoneticPr fontId="4" type="noConversion"/>
  </si>
  <si>
    <t>Smile Cast</t>
  </si>
  <si>
    <t>3"</t>
  </si>
  <si>
    <t>K8504128</t>
  </si>
  <si>
    <t>4"</t>
  </si>
  <si>
    <t>K8505128</t>
    <phoneticPr fontId="4" type="noConversion"/>
  </si>
  <si>
    <t>5"</t>
  </si>
  <si>
    <t>K8301128</t>
  </si>
  <si>
    <t>Smile Splint</t>
  </si>
  <si>
    <t>2" X 12"</t>
    <phoneticPr fontId="4" type="noConversion"/>
  </si>
  <si>
    <t>K8305128</t>
  </si>
  <si>
    <t>3" X 14"</t>
    <phoneticPr fontId="4" type="noConversion"/>
  </si>
  <si>
    <t>K8310128</t>
  </si>
  <si>
    <t>3" X 40"</t>
    <phoneticPr fontId="4" type="noConversion"/>
  </si>
  <si>
    <t>K8312128</t>
  </si>
  <si>
    <t>4" X 18"</t>
  </si>
  <si>
    <t>K8310128</t>
    <phoneticPr fontId="4" type="noConversion"/>
  </si>
  <si>
    <t>4" X 34"</t>
    <phoneticPr fontId="4" type="noConversion"/>
  </si>
  <si>
    <t>K8321128</t>
  </si>
  <si>
    <t>5" X 34"</t>
  </si>
  <si>
    <t>K8324128</t>
    <phoneticPr fontId="4" type="noConversion"/>
  </si>
  <si>
    <t>5" X 50"</t>
    <phoneticPr fontId="4" type="noConversion"/>
  </si>
  <si>
    <t>K8321128</t>
    <phoneticPr fontId="4" type="noConversion"/>
  </si>
  <si>
    <t>6" X 34"</t>
    <phoneticPr fontId="4" type="noConversion"/>
  </si>
  <si>
    <t>K8326128</t>
  </si>
  <si>
    <t>6" X 50"</t>
    <phoneticPr fontId="4" type="noConversion"/>
  </si>
  <si>
    <t>정형외과</t>
  </si>
  <si>
    <t>K8107023</t>
    <phoneticPr fontId="4" type="noConversion"/>
  </si>
  <si>
    <t>Eigen(단상지) 대</t>
  </si>
  <si>
    <t>좌</t>
  </si>
  <si>
    <t>우</t>
  </si>
  <si>
    <t>Eigen(단상지) 중</t>
  </si>
  <si>
    <t>K8107023</t>
  </si>
  <si>
    <t>Eigen(단상지) 소</t>
  </si>
  <si>
    <t>콕업(대)</t>
  </si>
  <si>
    <t>콕업(중)</t>
  </si>
  <si>
    <t>콕업(소)</t>
  </si>
  <si>
    <t>콕업(특소)</t>
  </si>
  <si>
    <t>엄지고정(대)</t>
  </si>
  <si>
    <t>엄지고정(중)</t>
  </si>
  <si>
    <t>엄지고정(소)</t>
  </si>
  <si>
    <t>엄지고정(특소)</t>
  </si>
  <si>
    <t>K8103023</t>
    <phoneticPr fontId="4" type="noConversion"/>
  </si>
  <si>
    <t>Eigen(장상지) 대</t>
  </si>
  <si>
    <t>대</t>
    <phoneticPr fontId="4" type="noConversion"/>
  </si>
  <si>
    <t>Eigen(장상지) 중</t>
  </si>
  <si>
    <t>중</t>
    <phoneticPr fontId="4" type="noConversion"/>
  </si>
  <si>
    <t>Eigen(장상지) 소</t>
  </si>
  <si>
    <t>소</t>
    <phoneticPr fontId="4" type="noConversion"/>
  </si>
  <si>
    <t>K8104023</t>
  </si>
  <si>
    <t xml:space="preserve">Eigen(장하지 실린더) </t>
    <phoneticPr fontId="14" type="noConversion"/>
  </si>
  <si>
    <t>대</t>
  </si>
  <si>
    <t>중</t>
  </si>
  <si>
    <t>소</t>
  </si>
  <si>
    <t>M2055039</t>
    <phoneticPr fontId="12" type="noConversion"/>
  </si>
  <si>
    <t>ALEXIS WOUND RETRACTOR</t>
    <phoneticPr fontId="12" type="noConversion"/>
  </si>
  <si>
    <t>전규격</t>
    <phoneticPr fontId="12" type="noConversion"/>
  </si>
  <si>
    <t>개</t>
    <phoneticPr fontId="12" type="noConversion"/>
  </si>
  <si>
    <t>B2121018</t>
    <phoneticPr fontId="4" type="noConversion"/>
  </si>
  <si>
    <t>Click-V Clip</t>
  </si>
  <si>
    <t xml:space="preserve"> 팩(6개) </t>
  </si>
  <si>
    <t>B0001004</t>
    <phoneticPr fontId="4" type="noConversion"/>
  </si>
  <si>
    <t>Dafilon 0</t>
  </si>
  <si>
    <t>C0932566</t>
  </si>
  <si>
    <t xml:space="preserve"> Box/36개 </t>
  </si>
  <si>
    <t>B0042104</t>
  </si>
  <si>
    <t>Dafilon 10/0 DRCM3</t>
  </si>
  <si>
    <t>G1118048</t>
  </si>
  <si>
    <t>Box/12개</t>
  </si>
  <si>
    <t>B0043004</t>
  </si>
  <si>
    <t>Dafilon 11/0 DRM3</t>
  </si>
  <si>
    <t>G1118366</t>
  </si>
  <si>
    <t>B0002004</t>
    <phoneticPr fontId="4" type="noConversion"/>
  </si>
  <si>
    <t>Dafilon 2/0, DS39,75cm</t>
    <phoneticPr fontId="4" type="noConversion"/>
  </si>
  <si>
    <t>C0932558</t>
  </si>
  <si>
    <t>B0003004</t>
  </si>
  <si>
    <t>Dafilon 3/0, DS24, 45cm</t>
  </si>
  <si>
    <t>C0932353</t>
  </si>
  <si>
    <t>B0004004</t>
  </si>
  <si>
    <t>Dafilon 4/0, DS19, 45cm</t>
  </si>
  <si>
    <t>C0932205</t>
  </si>
  <si>
    <t>B0005004</t>
  </si>
  <si>
    <t>Dafilon 5/0, DS16, 45cm</t>
  </si>
  <si>
    <t>C0932124</t>
  </si>
  <si>
    <t>B0006004</t>
  </si>
  <si>
    <t>Dafilon 6/0, DS12, 45cm</t>
    <phoneticPr fontId="4" type="noConversion"/>
  </si>
  <si>
    <t>C0932060</t>
    <phoneticPr fontId="4" type="noConversion"/>
  </si>
  <si>
    <t>B0006004</t>
    <phoneticPr fontId="4" type="noConversion"/>
  </si>
  <si>
    <t>Dafilon 6/0, DS16, 45cm</t>
  </si>
  <si>
    <t>C0932116</t>
  </si>
  <si>
    <t>B0008004</t>
  </si>
  <si>
    <t>Dafilon 8/0 DRM6</t>
  </si>
  <si>
    <t>G1118170</t>
  </si>
  <si>
    <t>B0042004</t>
    <phoneticPr fontId="4" type="noConversion"/>
  </si>
  <si>
    <t>Dafilon 9/0 DRM4S</t>
  </si>
  <si>
    <t>G1118137</t>
  </si>
  <si>
    <t>M3032522</t>
    <phoneticPr fontId="4" type="noConversion"/>
  </si>
  <si>
    <t>easyfoam 2mm</t>
  </si>
  <si>
    <t>10*10(10p)</t>
  </si>
  <si>
    <t xml:space="preserve"> box </t>
  </si>
  <si>
    <t>M3032536</t>
    <phoneticPr fontId="4" type="noConversion"/>
  </si>
  <si>
    <t>easyfoam 5mm</t>
  </si>
  <si>
    <t>20*20(10p)</t>
  </si>
  <si>
    <t xml:space="preserve">easyfoam 5mm </t>
  </si>
  <si>
    <t>공급실/내시경실</t>
    <phoneticPr fontId="4" type="noConversion"/>
  </si>
  <si>
    <t>EmPower</t>
  </si>
  <si>
    <t>3.8L</t>
  </si>
  <si>
    <t>B2801012</t>
    <phoneticPr fontId="4" type="noConversion"/>
  </si>
  <si>
    <t>Endo bag</t>
    <phoneticPr fontId="4" type="noConversion"/>
  </si>
  <si>
    <t>M</t>
  </si>
  <si>
    <t>M2052039</t>
  </si>
  <si>
    <t>Kii ACCESS SYSTEM</t>
  </si>
  <si>
    <t>B0544014</t>
  </si>
  <si>
    <t>Monosyn 4/0, DS19, 45cm</t>
  </si>
  <si>
    <t>C0022504</t>
  </si>
  <si>
    <t>B0531044</t>
  </si>
  <si>
    <t>Novosyn 1, HR40s, 70cm</t>
  </si>
  <si>
    <t>C0068057</t>
  </si>
  <si>
    <t>B0541044</t>
  </si>
  <si>
    <t>Novosyn 1/0, HR30, 70cm</t>
  </si>
  <si>
    <t>C0068048</t>
  </si>
  <si>
    <t>B0541044</t>
    <phoneticPr fontId="4" type="noConversion"/>
  </si>
  <si>
    <t>Novosyn 1/0, HR40s, 70cm</t>
  </si>
  <si>
    <t>C0068056</t>
  </si>
  <si>
    <t>B0532044</t>
    <phoneticPr fontId="4" type="noConversion"/>
  </si>
  <si>
    <t>Novosyn 2, HR48,70cm</t>
  </si>
  <si>
    <t>C0068063</t>
  </si>
  <si>
    <t>B0542044</t>
    <phoneticPr fontId="4" type="noConversion"/>
  </si>
  <si>
    <t>Novosyn 2/0, FR26, 70cm</t>
    <phoneticPr fontId="4" type="noConversion"/>
  </si>
  <si>
    <t>C0068415</t>
    <phoneticPr fontId="4" type="noConversion"/>
  </si>
  <si>
    <t>B0542044</t>
  </si>
  <si>
    <t>Novosyn 2/0, HR26, 70cm</t>
  </si>
  <si>
    <t>C0068042</t>
  </si>
  <si>
    <t>B0543044</t>
  </si>
  <si>
    <t>Novosyn 3/0, HR26, 70cm</t>
  </si>
  <si>
    <t>C0068041</t>
  </si>
  <si>
    <t>B0544044</t>
  </si>
  <si>
    <t>Novosyn 4/0, HR17, 70cm</t>
    <phoneticPr fontId="4" type="noConversion"/>
  </si>
  <si>
    <t>C0068013</t>
  </si>
  <si>
    <t>Novosyn 4/0, HR22, 70cm</t>
    <phoneticPr fontId="12" type="noConversion"/>
  </si>
  <si>
    <t>C0068029</t>
    <phoneticPr fontId="12" type="noConversion"/>
  </si>
  <si>
    <t>Box/36개</t>
    <phoneticPr fontId="12" type="noConversion"/>
  </si>
  <si>
    <t>B0545044</t>
  </si>
  <si>
    <t>Novosyn 5/0, HR13, 45cm</t>
  </si>
  <si>
    <t>C0069407</t>
  </si>
  <si>
    <t>B0546044</t>
  </si>
  <si>
    <t>Novosyn 6/0, HR13, 45cm</t>
  </si>
  <si>
    <t>C0068449</t>
  </si>
  <si>
    <t>B0071104</t>
    <phoneticPr fontId="4" type="noConversion"/>
  </si>
  <si>
    <t>Silkam 1</t>
  </si>
  <si>
    <t>B00264695</t>
  </si>
  <si>
    <t>Box/240개</t>
    <phoneticPr fontId="4" type="noConversion"/>
  </si>
  <si>
    <t>B0011104</t>
  </si>
  <si>
    <t>Silkam 1/0, 10*75</t>
  </si>
  <si>
    <t>B0264679</t>
  </si>
  <si>
    <t>B0011204</t>
  </si>
  <si>
    <t>Silkam 2/0, 10*75</t>
  </si>
  <si>
    <t>C0264660</t>
  </si>
  <si>
    <t>Box/360개</t>
    <phoneticPr fontId="4" type="noConversion"/>
  </si>
  <si>
    <t>B0012004</t>
    <phoneticPr fontId="4" type="noConversion"/>
  </si>
  <si>
    <t>Silkam 2/0, DS24</t>
    <phoneticPr fontId="4" type="noConversion"/>
  </si>
  <si>
    <t>C0762369</t>
  </si>
  <si>
    <t>B0011304</t>
    <phoneticPr fontId="4" type="noConversion"/>
  </si>
  <si>
    <t>Silkam 3/0 10*75</t>
    <phoneticPr fontId="4" type="noConversion"/>
  </si>
  <si>
    <t>C0264652</t>
    <phoneticPr fontId="4" type="noConversion"/>
  </si>
  <si>
    <t>J7001008</t>
  </si>
  <si>
    <t>성형외과</t>
    <phoneticPr fontId="4" type="noConversion"/>
  </si>
  <si>
    <t>M4010002</t>
    <phoneticPr fontId="4" type="noConversion"/>
  </si>
  <si>
    <t>10*7.5</t>
    <phoneticPr fontId="4" type="noConversion"/>
  </si>
  <si>
    <t>M4010102</t>
    <phoneticPr fontId="4" type="noConversion"/>
  </si>
  <si>
    <t>16*12.5</t>
    <phoneticPr fontId="4" type="noConversion"/>
  </si>
  <si>
    <t>M4010202</t>
    <phoneticPr fontId="4" type="noConversion"/>
  </si>
  <si>
    <t>26*15</t>
    <phoneticPr fontId="4" type="noConversion"/>
  </si>
  <si>
    <t>M4010402</t>
    <phoneticPr fontId="4" type="noConversion"/>
  </si>
  <si>
    <t>curavac silver</t>
    <phoneticPr fontId="4" type="noConversion"/>
  </si>
  <si>
    <t>M4010502</t>
    <phoneticPr fontId="4" type="noConversion"/>
  </si>
  <si>
    <t>M4010602</t>
    <phoneticPr fontId="4" type="noConversion"/>
  </si>
  <si>
    <t>M3090010</t>
    <phoneticPr fontId="4" type="noConversion"/>
  </si>
  <si>
    <t>curasys2Canister</t>
    <phoneticPr fontId="4" type="noConversion"/>
  </si>
  <si>
    <t>K7310261</t>
    <phoneticPr fontId="4" type="noConversion"/>
  </si>
  <si>
    <t>Anti-embolism stocking</t>
  </si>
  <si>
    <t>양측</t>
    <phoneticPr fontId="4" type="noConversion"/>
  </si>
  <si>
    <t>몽원</t>
  </si>
  <si>
    <t>set</t>
    <phoneticPr fontId="4" type="noConversion"/>
  </si>
  <si>
    <t xml:space="preserve">1회용 glove (멸균)실험용 </t>
  </si>
  <si>
    <t>full</t>
  </si>
  <si>
    <t>세운</t>
    <phoneticPr fontId="4" type="noConversion"/>
  </si>
  <si>
    <t>1회용 모자 band형</t>
  </si>
  <si>
    <t xml:space="preserve">유한킴벌리 </t>
  </si>
  <si>
    <t>1회용 모자 Tie형</t>
  </si>
  <si>
    <t>유한킴벌리</t>
    <phoneticPr fontId="4" type="noConversion"/>
  </si>
  <si>
    <t xml:space="preserve">  갑  </t>
  </si>
  <si>
    <t>1회용 비닐앞치마</t>
  </si>
  <si>
    <t>DVD330(1000매)</t>
    <phoneticPr fontId="4" type="noConversion"/>
  </si>
  <si>
    <t>아원</t>
    <phoneticPr fontId="4" type="noConversion"/>
  </si>
  <si>
    <t>BC shoulder pack</t>
  </si>
  <si>
    <t>83301-96</t>
  </si>
  <si>
    <t>유한킴벌리</t>
  </si>
  <si>
    <t>B0503006</t>
    <phoneticPr fontId="4" type="noConversion"/>
  </si>
  <si>
    <t>Chromic 3-0</t>
  </si>
  <si>
    <t>C319</t>
  </si>
  <si>
    <t>AlLEE</t>
  </si>
  <si>
    <t>갑(24개)</t>
    <phoneticPr fontId="4" type="noConversion"/>
  </si>
  <si>
    <t>B0504006</t>
    <phoneticPr fontId="4" type="noConversion"/>
  </si>
  <si>
    <t>Chromic 4-0</t>
  </si>
  <si>
    <t>C434</t>
  </si>
  <si>
    <t>B0505006</t>
  </si>
  <si>
    <t>Chromic 5-0</t>
  </si>
  <si>
    <t>C517</t>
    <phoneticPr fontId="4" type="noConversion"/>
  </si>
  <si>
    <t>수술실/외과</t>
    <phoneticPr fontId="4" type="noConversion"/>
  </si>
  <si>
    <t>fenesttrated drap</t>
  </si>
  <si>
    <t>혈관센터</t>
    <phoneticPr fontId="4" type="noConversion"/>
  </si>
  <si>
    <t>Glove&lt;멸균&gt;</t>
  </si>
  <si>
    <t xml:space="preserve">  갑(50켤레)  </t>
  </si>
  <si>
    <t>공급실/수술실</t>
    <phoneticPr fontId="4" type="noConversion"/>
  </si>
  <si>
    <t>SEWOON</t>
    <phoneticPr fontId="4" type="noConversion"/>
  </si>
  <si>
    <t>N0101504</t>
    <phoneticPr fontId="4" type="noConversion"/>
  </si>
  <si>
    <t>Laparoscopy pack</t>
    <phoneticPr fontId="4" type="noConversion"/>
  </si>
  <si>
    <t>83208-77</t>
    <phoneticPr fontId="4" type="noConversion"/>
  </si>
  <si>
    <t>lat shoulder pack</t>
  </si>
  <si>
    <t>83301-92</t>
  </si>
  <si>
    <t>인공신장실</t>
    <phoneticPr fontId="4" type="noConversion"/>
  </si>
  <si>
    <t>Male cap(멸균캡)</t>
  </si>
  <si>
    <t>인공신장실/중환자실</t>
    <phoneticPr fontId="4" type="noConversion"/>
  </si>
  <si>
    <t>M1013014</t>
    <phoneticPr fontId="11" type="noConversion"/>
  </si>
  <si>
    <t>safe-flush syringe</t>
  </si>
  <si>
    <t>수술실/혈관센터</t>
    <phoneticPr fontId="4" type="noConversion"/>
  </si>
  <si>
    <t>Surgical gown</t>
    <phoneticPr fontId="4" type="noConversion"/>
  </si>
  <si>
    <t>U-drap</t>
  </si>
  <si>
    <t>80307-05</t>
  </si>
  <si>
    <t>Uterine elevator cooper</t>
  </si>
  <si>
    <t>5mm*33cm</t>
  </si>
  <si>
    <t>cooper surgical</t>
  </si>
  <si>
    <t>Utility drap 2(70*60)</t>
  </si>
  <si>
    <t>80110-30</t>
  </si>
  <si>
    <t>k4051004</t>
    <phoneticPr fontId="4" type="noConversion"/>
  </si>
  <si>
    <t>wire e-tube</t>
  </si>
  <si>
    <t>세운,Teleflex medical</t>
  </si>
  <si>
    <t>글러브(니크릴)</t>
    <phoneticPr fontId="4" type="noConversion"/>
  </si>
  <si>
    <t>150(대,중,소)</t>
  </si>
  <si>
    <t>유한킴벌리,이페이커</t>
    <phoneticPr fontId="4" type="noConversion"/>
  </si>
  <si>
    <t>수술용 마스크</t>
  </si>
  <si>
    <t>B0506006</t>
    <phoneticPr fontId="4" type="noConversion"/>
  </si>
  <si>
    <t>Chromic 6-0</t>
    <phoneticPr fontId="4" type="noConversion"/>
  </si>
  <si>
    <t>C610</t>
  </si>
  <si>
    <t>갑(24개)</t>
  </si>
  <si>
    <t>Chromic 6-0</t>
  </si>
  <si>
    <t>C611</t>
  </si>
  <si>
    <t>부츠카바</t>
  </si>
  <si>
    <t>44041 25*8</t>
  </si>
  <si>
    <t>B2801006</t>
    <phoneticPr fontId="4" type="noConversion"/>
  </si>
  <si>
    <t>lap bag</t>
    <phoneticPr fontId="4" type="noConversion"/>
  </si>
  <si>
    <t>M,L,XL</t>
    <phoneticPr fontId="4" type="noConversion"/>
  </si>
  <si>
    <t>세종</t>
    <phoneticPr fontId="4" type="noConversion"/>
  </si>
  <si>
    <t>페이스쉴드(안면보호대)</t>
    <phoneticPr fontId="4" type="noConversion"/>
  </si>
  <si>
    <t>국산</t>
    <phoneticPr fontId="4" type="noConversion"/>
  </si>
  <si>
    <t>수술실/이비인후과</t>
  </si>
  <si>
    <t>Antifog</t>
  </si>
  <si>
    <t>30ml</t>
  </si>
  <si>
    <t>병</t>
  </si>
  <si>
    <t>Blade  Knife</t>
  </si>
  <si>
    <t xml:space="preserve"> 타 </t>
  </si>
  <si>
    <t>12호 제외</t>
    <phoneticPr fontId="4" type="noConversion"/>
  </si>
  <si>
    <t>수술실</t>
  </si>
  <si>
    <t>D1213217</t>
  </si>
  <si>
    <t>CANN CLR FLEX NF shoulder cannular</t>
  </si>
  <si>
    <t>C7313</t>
  </si>
  <si>
    <t>D1213417</t>
  </si>
  <si>
    <t xml:space="preserve">CANN W/DISP shoulder cannular </t>
  </si>
  <si>
    <t>C7367</t>
  </si>
  <si>
    <t>B1701002</t>
    <phoneticPr fontId="4" type="noConversion"/>
  </si>
  <si>
    <t>CVD TA body</t>
  </si>
  <si>
    <t>CS40B</t>
  </si>
  <si>
    <t>존슨앤존슨</t>
  </si>
  <si>
    <t>B1020002</t>
  </si>
  <si>
    <t>CVD TA cartrige</t>
  </si>
  <si>
    <t>CR40B</t>
  </si>
  <si>
    <t>공급실</t>
  </si>
  <si>
    <t>K0022071</t>
  </si>
  <si>
    <t>EKG paper</t>
  </si>
  <si>
    <t>Ecg 50-30G</t>
  </si>
  <si>
    <t>B0081001</t>
  </si>
  <si>
    <t>ethibond 1</t>
  </si>
  <si>
    <t>X548H</t>
  </si>
  <si>
    <t>타(36개)</t>
  </si>
  <si>
    <t>B0082001</t>
    <phoneticPr fontId="4" type="noConversion"/>
  </si>
  <si>
    <t>ethibond 2</t>
  </si>
  <si>
    <t>X4843G</t>
  </si>
  <si>
    <t xml:space="preserve">  타(48개)  </t>
  </si>
  <si>
    <t>B0029201</t>
    <phoneticPr fontId="4" type="noConversion"/>
  </si>
  <si>
    <t>ethibond 2-0</t>
  </si>
  <si>
    <t>W6977</t>
  </si>
  <si>
    <t>타(12개)</t>
  </si>
  <si>
    <t>B0085001</t>
  </si>
  <si>
    <t>ethibond 5</t>
  </si>
  <si>
    <t>W4846G</t>
  </si>
  <si>
    <t>타(48개)</t>
  </si>
  <si>
    <t>lapa verres needle</t>
  </si>
  <si>
    <t>UV120</t>
  </si>
  <si>
    <t>공급실/이비인후과</t>
    <phoneticPr fontId="4" type="noConversion"/>
  </si>
  <si>
    <t>I2011001</t>
    <phoneticPr fontId="4" type="noConversion"/>
  </si>
  <si>
    <t>Merosel 8cm(20's bx)</t>
    <phoneticPr fontId="4" type="noConversion"/>
  </si>
  <si>
    <t>REF400402</t>
  </si>
  <si>
    <t xml:space="preserve"> box(20개) </t>
  </si>
  <si>
    <t>mersilene tape</t>
  </si>
  <si>
    <t>Rs 22</t>
  </si>
  <si>
    <t xml:space="preserve">  BOX  </t>
  </si>
  <si>
    <t>B0010019</t>
    <phoneticPr fontId="4" type="noConversion"/>
  </si>
  <si>
    <t>Nylon 10-0</t>
  </si>
  <si>
    <t xml:space="preserve">  타(12개)  </t>
  </si>
  <si>
    <t>산부인과</t>
  </si>
  <si>
    <t xml:space="preserve">pap brush(삼각) </t>
  </si>
  <si>
    <t xml:space="preserve">100개 </t>
  </si>
  <si>
    <t xml:space="preserve"> 갑  </t>
  </si>
  <si>
    <t>B0541101</t>
    <phoneticPr fontId="4" type="noConversion"/>
  </si>
  <si>
    <t xml:space="preserve">PDS 0 </t>
  </si>
  <si>
    <t xml:space="preserve">W9381H </t>
  </si>
  <si>
    <t>B0743011</t>
    <phoneticPr fontId="4" type="noConversion"/>
  </si>
  <si>
    <t>PDS 3-0</t>
  </si>
  <si>
    <t>PDP305H</t>
  </si>
  <si>
    <t>B0039301</t>
    <phoneticPr fontId="4" type="noConversion"/>
  </si>
  <si>
    <t>Prolene 3-0</t>
  </si>
  <si>
    <t>8558H</t>
  </si>
  <si>
    <t>B0039501</t>
    <phoneticPr fontId="4" type="noConversion"/>
  </si>
  <si>
    <t>Prolene 5-0</t>
  </si>
  <si>
    <t>W8710</t>
  </si>
  <si>
    <t>B0039801</t>
    <phoneticPr fontId="4" type="noConversion"/>
  </si>
  <si>
    <t>Prolene 8-0</t>
  </si>
  <si>
    <t>8740H</t>
  </si>
  <si>
    <t>B0400101</t>
    <phoneticPr fontId="4" type="noConversion"/>
  </si>
  <si>
    <t>Prolene 9-0</t>
  </si>
  <si>
    <t>W2780</t>
  </si>
  <si>
    <t>D0001010</t>
  </si>
  <si>
    <t>Roll wire</t>
  </si>
  <si>
    <t>공급실/수술실</t>
  </si>
  <si>
    <t>Spinal needle (pvc)</t>
  </si>
  <si>
    <t>Super Turbovac 90</t>
  </si>
  <si>
    <t>AR-ASC4250-01</t>
  </si>
  <si>
    <t>K5450105</t>
    <phoneticPr fontId="4" type="noConversion"/>
  </si>
  <si>
    <t>Suprapubic catheter</t>
  </si>
  <si>
    <t>K4311005</t>
  </si>
  <si>
    <t>tracheostomy tube</t>
  </si>
  <si>
    <t>TUBE SET 10K ARTHRSCPY IN/OUT F</t>
  </si>
  <si>
    <t>10K150</t>
  </si>
  <si>
    <t>Ultra power drill bur</t>
  </si>
  <si>
    <t>urine collecter(비멸균)</t>
  </si>
  <si>
    <t>소아용(여아)</t>
  </si>
  <si>
    <t>소아용(남아)</t>
  </si>
  <si>
    <t>수술실/산부인과</t>
    <phoneticPr fontId="4" type="noConversion"/>
  </si>
  <si>
    <t xml:space="preserve">vaginal probe cover(멸균) </t>
    <phoneticPr fontId="4" type="noConversion"/>
  </si>
  <si>
    <t xml:space="preserve">144개 </t>
  </si>
  <si>
    <t>분만실</t>
  </si>
  <si>
    <t>B0542011</t>
  </si>
  <si>
    <t>Vicryl Rapide (2-0)</t>
  </si>
  <si>
    <t>V9450</t>
  </si>
  <si>
    <t>갑(36개)</t>
  </si>
  <si>
    <t>분만실</t>
    <phoneticPr fontId="4" type="noConversion"/>
  </si>
  <si>
    <t>Vicryl Rapide (3-0)</t>
    <phoneticPr fontId="4" type="noConversion"/>
  </si>
  <si>
    <t>V4160H</t>
    <phoneticPr fontId="4" type="noConversion"/>
  </si>
  <si>
    <t>갑(36개)</t>
    <phoneticPr fontId="4" type="noConversion"/>
  </si>
  <si>
    <t>B0544011</t>
    <phoneticPr fontId="4" type="noConversion"/>
  </si>
  <si>
    <t>Vicryl Rapide (4-0)</t>
  </si>
  <si>
    <t>V4940H</t>
  </si>
  <si>
    <t>M3101117</t>
  </si>
  <si>
    <t>네오드레싱</t>
  </si>
  <si>
    <t>6*7</t>
  </si>
  <si>
    <t>갑(50P)</t>
  </si>
  <si>
    <t>M3102117</t>
  </si>
  <si>
    <t>9*7</t>
  </si>
  <si>
    <t xml:space="preserve"> 갑(50P) </t>
  </si>
  <si>
    <t>M3104117</t>
    <phoneticPr fontId="4" type="noConversion"/>
  </si>
  <si>
    <t>9*20</t>
  </si>
  <si>
    <t xml:space="preserve"> 갑(30p) </t>
  </si>
  <si>
    <t>M3105117</t>
  </si>
  <si>
    <t>9*30</t>
  </si>
  <si>
    <t>봉합침</t>
  </si>
  <si>
    <t>전규격 / 각침</t>
  </si>
  <si>
    <t>암보드</t>
  </si>
  <si>
    <t>전규격(대,중,소)</t>
  </si>
  <si>
    <t>BONE WAX</t>
  </si>
  <si>
    <t>W31C</t>
  </si>
  <si>
    <t>파라핀왁스</t>
  </si>
  <si>
    <t>6LB</t>
  </si>
  <si>
    <t>K1101005</t>
    <phoneticPr fontId="4" type="noConversion"/>
  </si>
  <si>
    <t>DERMATOME BLADE</t>
  </si>
  <si>
    <t>10's/1ca</t>
  </si>
  <si>
    <t>K1205105</t>
    <phoneticPr fontId="4" type="noConversion"/>
  </si>
  <si>
    <t>MESHGRAFT DERMACARRIER (20개입)</t>
    <phoneticPr fontId="4" type="noConversion"/>
  </si>
  <si>
    <t>PENKO DUAL SUPPORT MARKING PEN</t>
  </si>
  <si>
    <t>GG_PK-DSMP01</t>
  </si>
  <si>
    <t>ETHICON #1</t>
  </si>
  <si>
    <t>W738G</t>
    <phoneticPr fontId="4" type="noConversion"/>
  </si>
  <si>
    <t>타(12개)</t>
    <phoneticPr fontId="4" type="noConversion"/>
  </si>
  <si>
    <t>B0032001</t>
    <phoneticPr fontId="4" type="noConversion"/>
  </si>
  <si>
    <t>PROLENE 2-0</t>
  </si>
  <si>
    <t>8833H</t>
  </si>
  <si>
    <t>타(36개)</t>
    <phoneticPr fontId="4" type="noConversion"/>
  </si>
  <si>
    <t>B0039201</t>
    <phoneticPr fontId="4" type="noConversion"/>
  </si>
  <si>
    <t>W8400</t>
  </si>
  <si>
    <t>VICRYL 7-0</t>
    <phoneticPr fontId="4" type="noConversion"/>
  </si>
  <si>
    <t>W9561</t>
  </si>
  <si>
    <t>HS FOCUS 9CM PLUS ADAPTIVE</t>
  </si>
  <si>
    <t>HAR9F</t>
  </si>
  <si>
    <t>HARMONIC BLUE HAND PIECE</t>
  </si>
  <si>
    <t>HPBLUE</t>
  </si>
  <si>
    <t>N0051001</t>
  </si>
  <si>
    <t>BUR, SAW 등 절삭기류-고관절, 견관절, 슬관절</t>
  </si>
  <si>
    <t>B0039701</t>
    <phoneticPr fontId="4" type="noConversion"/>
  </si>
  <si>
    <t>PROLENE   W8702 7/0</t>
    <phoneticPr fontId="4" type="noConversion"/>
  </si>
  <si>
    <t>W8702</t>
    <phoneticPr fontId="4" type="noConversion"/>
  </si>
  <si>
    <t>TOOL MR8 7CM BALL 4MM</t>
  </si>
  <si>
    <t>MR8-7BA40</t>
    <phoneticPr fontId="4" type="noConversion"/>
  </si>
  <si>
    <t xml:space="preserve">Arthroscopic Energy 90' Probe </t>
  </si>
  <si>
    <t>AES-90SN</t>
    <phoneticPr fontId="4" type="noConversion"/>
  </si>
  <si>
    <t xml:space="preserve">LIBERATOR KNIFE </t>
    <phoneticPr fontId="4" type="noConversion"/>
  </si>
  <si>
    <t>응급실</t>
    <phoneticPr fontId="4" type="noConversion"/>
  </si>
  <si>
    <t>INSYTE AUTOGUARD(안전주사카테터)</t>
    <phoneticPr fontId="4" type="noConversion"/>
  </si>
  <si>
    <t>18,20,22,24G</t>
    <phoneticPr fontId="4" type="noConversion"/>
  </si>
  <si>
    <t>K4430035</t>
    <phoneticPr fontId="4" type="noConversion"/>
  </si>
  <si>
    <t>ACE Blade</t>
  </si>
  <si>
    <t>에이스메디칼</t>
  </si>
  <si>
    <t>J4308135</t>
    <phoneticPr fontId="4" type="noConversion"/>
  </si>
  <si>
    <t>Auto selector K bolus</t>
    <phoneticPr fontId="4" type="noConversion"/>
  </si>
  <si>
    <t>150ml/Autoslector</t>
    <phoneticPr fontId="4" type="noConversion"/>
  </si>
  <si>
    <t>K4501361</t>
    <phoneticPr fontId="4" type="noConversion"/>
  </si>
  <si>
    <t>Heated circuit kit</t>
    <phoneticPr fontId="4" type="noConversion"/>
  </si>
  <si>
    <t>150cm</t>
  </si>
  <si>
    <t>수술실/중환자실/응급실</t>
    <phoneticPr fontId="4" type="noConversion"/>
  </si>
  <si>
    <t>NIBP cuff (adult)</t>
  </si>
  <si>
    <t>25-35cm</t>
  </si>
  <si>
    <t>NIBP cuff (large adult, thigh)</t>
  </si>
  <si>
    <t>33-47cm, 46-66cm</t>
  </si>
  <si>
    <t>Cleaning Indicator (세척기)</t>
  </si>
  <si>
    <t>(250ea/Box)</t>
  </si>
  <si>
    <t>중환자실/응급실/분만실</t>
    <phoneticPr fontId="4" type="noConversion"/>
  </si>
  <si>
    <t>Disposable SPO2 sensor</t>
  </si>
  <si>
    <t>Nellcor Type</t>
  </si>
  <si>
    <t>㈜메디아나</t>
    <phoneticPr fontId="4" type="noConversion"/>
  </si>
  <si>
    <t xml:space="preserve"> box(25개) </t>
  </si>
  <si>
    <t xml:space="preserve">E.O gas 봉투 </t>
  </si>
  <si>
    <t>350mm*100m</t>
  </si>
  <si>
    <t>Rhapa</t>
  </si>
  <si>
    <t>400mm*100m</t>
  </si>
  <si>
    <t>NT-1m(손세척제)</t>
  </si>
  <si>
    <t>3.8L</t>
    <phoneticPr fontId="4" type="noConversion"/>
  </si>
  <si>
    <t>Sanron Marketing</t>
    <phoneticPr fontId="4" type="noConversion"/>
  </si>
  <si>
    <t>NT-C1</t>
    <phoneticPr fontId="4" type="noConversion"/>
  </si>
  <si>
    <t>710ml</t>
  </si>
  <si>
    <t>WD L(윤활제)</t>
  </si>
  <si>
    <t>4L</t>
  </si>
  <si>
    <t>propad</t>
  </si>
  <si>
    <t>L/F</t>
  </si>
  <si>
    <t xml:space="preserve">소독테이프(스팀용) </t>
  </si>
  <si>
    <t>19mm*50m</t>
  </si>
  <si>
    <t>BM5101GJ</t>
    <phoneticPr fontId="4" type="noConversion"/>
  </si>
  <si>
    <t>천반창고</t>
  </si>
  <si>
    <t>10cm*10m</t>
  </si>
  <si>
    <t>BM5101GJ</t>
  </si>
  <si>
    <t>15cm*10m</t>
  </si>
  <si>
    <t>플라즈마 Printer paper</t>
  </si>
  <si>
    <t xml:space="preserve">  롤  </t>
  </si>
  <si>
    <t>플라즈마멸균제</t>
  </si>
  <si>
    <t>4TANK(1Box)</t>
    <phoneticPr fontId="4" type="noConversion"/>
  </si>
  <si>
    <t>box</t>
    <phoneticPr fontId="4" type="noConversion"/>
  </si>
  <si>
    <t xml:space="preserve">Intubation Silicone Tape </t>
  </si>
  <si>
    <t>2.5cm x 30cm</t>
  </si>
  <si>
    <t xml:space="preserve">눈가림용 Silicone Tape </t>
  </si>
  <si>
    <t>4cm x 14cm</t>
  </si>
  <si>
    <t>L9011006</t>
    <phoneticPr fontId="4" type="noConversion"/>
  </si>
  <si>
    <t>BAIR HUGGER TEMP MONITORING SENSOR</t>
  </si>
  <si>
    <t>3M</t>
  </si>
  <si>
    <t>M2123055</t>
    <phoneticPr fontId="4" type="noConversion"/>
  </si>
  <si>
    <t>3M™ Bair Hugger™ Warming Blanket</t>
  </si>
  <si>
    <t>eBowie-Dick Test Card</t>
  </si>
  <si>
    <t>k4504034</t>
    <phoneticPr fontId="4" type="noConversion"/>
  </si>
  <si>
    <t>이산화탄소분압 측정</t>
    <phoneticPr fontId="4" type="noConversion"/>
  </si>
  <si>
    <t>비인두기도기</t>
    <phoneticPr fontId="4" type="noConversion"/>
  </si>
  <si>
    <t>WD E(세척기 복합 세제)</t>
    <phoneticPr fontId="4" type="noConversion"/>
  </si>
  <si>
    <t>10L</t>
    <phoneticPr fontId="4" type="noConversion"/>
  </si>
  <si>
    <t>KF-94마스크(식약처 허가, 국내생산)</t>
    <phoneticPr fontId="4" type="noConversion"/>
  </si>
  <si>
    <t>4중구조,3D입체구조,흰색,대형,낱개포장</t>
    <phoneticPr fontId="11" type="noConversion"/>
  </si>
  <si>
    <t>장</t>
    <phoneticPr fontId="4" type="noConversion"/>
  </si>
  <si>
    <t>중환자실</t>
  </si>
  <si>
    <t>Winnomed Akar Test lung(1L)</t>
  </si>
  <si>
    <t>1L</t>
  </si>
  <si>
    <t>3M Steam test pack</t>
    <phoneticPr fontId="4" type="noConversion"/>
  </si>
  <si>
    <t>41482V</t>
  </si>
  <si>
    <t>1492PCD</t>
    <phoneticPr fontId="4" type="noConversion"/>
  </si>
  <si>
    <t>biological indicater test pack (플라즈마)</t>
    <phoneticPr fontId="4" type="noConversion"/>
  </si>
  <si>
    <t>1295pcd</t>
    <phoneticPr fontId="4" type="noConversion"/>
  </si>
  <si>
    <t xml:space="preserve">  갑   </t>
  </si>
  <si>
    <t>Bowie-Dick Type test pack</t>
  </si>
  <si>
    <t>00135LF/6*5</t>
  </si>
  <si>
    <t>chemical indicator(스팀)</t>
  </si>
  <si>
    <t>1243B/100</t>
  </si>
  <si>
    <t>chemical indicator(플라즈마)</t>
  </si>
  <si>
    <t>1248/250</t>
  </si>
  <si>
    <t>M2124055</t>
    <phoneticPr fontId="4" type="noConversion"/>
  </si>
  <si>
    <t>comply plasma indicator</t>
  </si>
  <si>
    <t>1228/24</t>
  </si>
  <si>
    <t>comply steam indicater 1</t>
  </si>
  <si>
    <t>1322-24mm/20</t>
  </si>
  <si>
    <t>E.O B.I Test Pack</t>
  </si>
  <si>
    <t>E.O gas paper</t>
  </si>
  <si>
    <t>8*30</t>
  </si>
  <si>
    <t>Ioban II Drape</t>
  </si>
  <si>
    <t>Ioban II Drape/Surgi Drape 6650</t>
  </si>
  <si>
    <t>R-60</t>
  </si>
  <si>
    <t>B3001306</t>
  </si>
  <si>
    <t>Skin stapler</t>
  </si>
  <si>
    <t>3995J</t>
  </si>
  <si>
    <t>steri Label K(paper)</t>
  </si>
  <si>
    <t>S 2545</t>
  </si>
  <si>
    <t>S 7760</t>
  </si>
  <si>
    <t>B3120219</t>
  </si>
  <si>
    <t>Steri-strip</t>
  </si>
  <si>
    <t>Surgical Drape</t>
  </si>
  <si>
    <t>E.O 화학적 인디케이터(type5)</t>
    <phoneticPr fontId="4" type="noConversion"/>
  </si>
  <si>
    <t>IT12</t>
    <phoneticPr fontId="4" type="noConversion"/>
  </si>
  <si>
    <t>PK(250개)</t>
    <phoneticPr fontId="4" type="noConversion"/>
  </si>
  <si>
    <t>E.O 인디케이터 테이프</t>
    <phoneticPr fontId="4" type="noConversion"/>
  </si>
  <si>
    <t>18mm</t>
    <phoneticPr fontId="4" type="noConversion"/>
  </si>
  <si>
    <t>High flow nasal annula circuit</t>
    <phoneticPr fontId="4" type="noConversion"/>
  </si>
  <si>
    <t>S,M, T- piece</t>
    <phoneticPr fontId="4" type="noConversion"/>
  </si>
  <si>
    <t>MEK</t>
    <phoneticPr fontId="4" type="noConversion"/>
  </si>
  <si>
    <t>1회용 Needle</t>
  </si>
  <si>
    <t>25G *5cm</t>
  </si>
  <si>
    <t>Disposable needle/일회용주사침</t>
    <phoneticPr fontId="4" type="noConversion"/>
  </si>
  <si>
    <t>24G 60mm</t>
  </si>
  <si>
    <t>24G1+1/2</t>
  </si>
  <si>
    <t>25G 1+1/2</t>
  </si>
  <si>
    <t>26G 1/2</t>
  </si>
  <si>
    <t>26G 1+1/2</t>
  </si>
  <si>
    <t>30G</t>
  </si>
  <si>
    <t>Disposable Needle (Full)/일회용주사침</t>
    <phoneticPr fontId="4" type="noConversion"/>
  </si>
  <si>
    <t>18G11/2",21G11/4, 23G1", 25G5/8"</t>
  </si>
  <si>
    <t>Pen Needle(인슐린)</t>
    <phoneticPr fontId="4" type="noConversion"/>
  </si>
  <si>
    <t>pvc enema syringe</t>
  </si>
  <si>
    <t>25개입50ml</t>
  </si>
  <si>
    <t>syringe Disposable (10cc 100개입)/일회용주사기</t>
    <phoneticPr fontId="4" type="noConversion"/>
  </si>
  <si>
    <t>23G 1",21G11/4</t>
    <phoneticPr fontId="4" type="noConversion"/>
  </si>
  <si>
    <t>syringe Disposable (1cc 100개입)/일회용주사기</t>
    <phoneticPr fontId="4" type="noConversion"/>
  </si>
  <si>
    <t>25G 5/8"</t>
  </si>
  <si>
    <t>syringe Disposable (20cc 50개입)/일회용주사기</t>
    <phoneticPr fontId="4" type="noConversion"/>
  </si>
  <si>
    <t>23G 1",/18G</t>
  </si>
  <si>
    <t>syringe Disposable (30cc 50개입)/일회용주사기</t>
    <phoneticPr fontId="4" type="noConversion"/>
  </si>
  <si>
    <t>18G1/2"</t>
  </si>
  <si>
    <t>syringe Disposable (3cc 100개입)/일회용주사기</t>
    <phoneticPr fontId="4" type="noConversion"/>
  </si>
  <si>
    <t>23G 1"</t>
  </si>
  <si>
    <t>syringe Disposable (50cc 25개입)/일회용주사기</t>
    <phoneticPr fontId="4" type="noConversion"/>
  </si>
  <si>
    <t>syringe Disposable (5cc 100개입)/일회용주사기</t>
    <phoneticPr fontId="4" type="noConversion"/>
  </si>
  <si>
    <t>M3041306</t>
    <phoneticPr fontId="4" type="noConversion"/>
  </si>
  <si>
    <t>FOR BURNS Gel</t>
  </si>
  <si>
    <t>3.5g</t>
  </si>
  <si>
    <t>M3041303</t>
  </si>
  <si>
    <t>FOR BURNS Sheet</t>
  </si>
  <si>
    <t>10 x 10</t>
  </si>
  <si>
    <t>M3041304</t>
    <phoneticPr fontId="4" type="noConversion"/>
  </si>
  <si>
    <t>20 x 20</t>
  </si>
  <si>
    <t>M3041305</t>
  </si>
  <si>
    <t>30 x 30</t>
  </si>
  <si>
    <t>J4306024</t>
  </si>
  <si>
    <t>PCA</t>
    <phoneticPr fontId="4" type="noConversion"/>
  </si>
  <si>
    <t>Neofuser plus</t>
    <phoneticPr fontId="4" type="noConversion"/>
  </si>
  <si>
    <t>M3032513</t>
    <phoneticPr fontId="4" type="noConversion"/>
  </si>
  <si>
    <t>레노폼A(5mm)</t>
    <phoneticPr fontId="4" type="noConversion"/>
  </si>
  <si>
    <t>5*5cm</t>
  </si>
  <si>
    <t>M3032511</t>
    <phoneticPr fontId="4" type="noConversion"/>
  </si>
  <si>
    <t>레노폼 (5mm)</t>
  </si>
  <si>
    <t>35*50cm</t>
    <phoneticPr fontId="4" type="noConversion"/>
  </si>
  <si>
    <t>M3032504</t>
    <phoneticPr fontId="4" type="noConversion"/>
  </si>
  <si>
    <t>10*10cm</t>
    <phoneticPr fontId="4" type="noConversion"/>
  </si>
  <si>
    <t>M3032509</t>
  </si>
  <si>
    <t>레노폼 (2mm/ 5mm)</t>
    <phoneticPr fontId="4" type="noConversion"/>
  </si>
  <si>
    <t>20*20cm</t>
    <phoneticPr fontId="4" type="noConversion"/>
  </si>
  <si>
    <t>BM5000GJ</t>
  </si>
  <si>
    <t>레노MD크림</t>
  </si>
  <si>
    <t>80g</t>
    <phoneticPr fontId="4" type="noConversion"/>
  </si>
  <si>
    <t>M3012214</t>
    <phoneticPr fontId="4" type="noConversion"/>
  </si>
  <si>
    <t>레노케어THIN</t>
    <phoneticPr fontId="4" type="noConversion"/>
  </si>
  <si>
    <t>M3012218</t>
    <phoneticPr fontId="4" type="noConversion"/>
  </si>
  <si>
    <t>BM5005GJ</t>
    <phoneticPr fontId="4" type="noConversion"/>
  </si>
  <si>
    <t>스카케어스틱</t>
    <phoneticPr fontId="4" type="noConversion"/>
  </si>
  <si>
    <t>Pumping tube</t>
    <phoneticPr fontId="4" type="noConversion"/>
  </si>
  <si>
    <t>AR-6410</t>
  </si>
  <si>
    <t>D0406095</t>
  </si>
  <si>
    <t>Scorpion needle</t>
  </si>
  <si>
    <t>Shaver tip</t>
  </si>
  <si>
    <t>AR-8400PR</t>
  </si>
  <si>
    <t>전규격(AR-8400PR제외)</t>
  </si>
  <si>
    <t>Suture Lasso wire loop</t>
  </si>
  <si>
    <t>AR-4068-05SD</t>
  </si>
  <si>
    <t>B0002003</t>
  </si>
  <si>
    <t>Dermalon 2-0</t>
  </si>
  <si>
    <t>1727-51</t>
  </si>
  <si>
    <t>COVIDIEN</t>
  </si>
  <si>
    <t xml:space="preserve"> 타(12개) </t>
  </si>
  <si>
    <t>B0003003</t>
  </si>
  <si>
    <t>Dermaron 3-0</t>
  </si>
  <si>
    <t>1744-41</t>
  </si>
  <si>
    <t>1750-41</t>
  </si>
  <si>
    <t>B2021218</t>
  </si>
  <si>
    <t>ENDO CLIP 5mm/16발</t>
  </si>
  <si>
    <t>ENDO CLIP 10mm/15발</t>
  </si>
  <si>
    <t>Irrigation suction</t>
  </si>
  <si>
    <t>E2608-6</t>
  </si>
  <si>
    <t>Lapa handset</t>
  </si>
  <si>
    <t>e2750</t>
  </si>
  <si>
    <t>Lapa spatula cannula</t>
  </si>
  <si>
    <t>E3781R-28ASP</t>
  </si>
  <si>
    <t>Laparo electrode L-hook tip</t>
  </si>
  <si>
    <t>E3783R28ASP</t>
  </si>
  <si>
    <t>M2045041</t>
  </si>
  <si>
    <t>LIGASURE IMPACT</t>
  </si>
  <si>
    <t>LF4418</t>
  </si>
  <si>
    <t>M2045287</t>
  </si>
  <si>
    <t>LIGASURE SMALL JAW</t>
  </si>
  <si>
    <t>LF1212</t>
  </si>
  <si>
    <t>B0941005</t>
  </si>
  <si>
    <t>MAXON 1-0</t>
  </si>
  <si>
    <t>GMM563L</t>
  </si>
  <si>
    <t>B0004005</t>
  </si>
  <si>
    <t>monosof 4-0</t>
  </si>
  <si>
    <t>SN662</t>
  </si>
  <si>
    <t>B0005005</t>
  </si>
  <si>
    <t>monosof 5-0</t>
  </si>
  <si>
    <t>SN3695</t>
  </si>
  <si>
    <t>SN659</t>
  </si>
  <si>
    <t>B0006005</t>
  </si>
  <si>
    <t>monosof 6-0</t>
  </si>
  <si>
    <t>SN660</t>
  </si>
  <si>
    <t>L4014006</t>
  </si>
  <si>
    <t>parietax basic mesh</t>
  </si>
  <si>
    <t>TET3030</t>
    <phoneticPr fontId="4" type="noConversion"/>
  </si>
  <si>
    <t>B0012005</t>
    <phoneticPr fontId="4" type="noConversion"/>
  </si>
  <si>
    <t>SOFSILK 2-0</t>
    <phoneticPr fontId="4" type="noConversion"/>
  </si>
  <si>
    <t>GS-62-M</t>
    <phoneticPr fontId="4" type="noConversion"/>
  </si>
  <si>
    <t>타(60개)</t>
    <phoneticPr fontId="4" type="noConversion"/>
  </si>
  <si>
    <t>B0531005</t>
    <phoneticPr fontId="4" type="noConversion"/>
  </si>
  <si>
    <t>POLYSORB 1</t>
  </si>
  <si>
    <t>CL803</t>
  </si>
  <si>
    <t>B0541005</t>
  </si>
  <si>
    <t>POLYSORB 1-0</t>
  </si>
  <si>
    <t>CL802</t>
  </si>
  <si>
    <t>CL812</t>
  </si>
  <si>
    <t>polysorb 1-0</t>
  </si>
  <si>
    <t>GL224</t>
  </si>
  <si>
    <t>B0532005</t>
  </si>
  <si>
    <t>polysorb 2</t>
  </si>
  <si>
    <t>CL906</t>
  </si>
  <si>
    <t>B0542005</t>
  </si>
  <si>
    <t>POLYSORB 2-0</t>
  </si>
  <si>
    <t>CL811</t>
  </si>
  <si>
    <t>UL878</t>
  </si>
  <si>
    <t xml:space="preserve">polysorb 2-0  </t>
  </si>
  <si>
    <t>GL123</t>
  </si>
  <si>
    <t>B0543005</t>
    <phoneticPr fontId="4" type="noConversion"/>
  </si>
  <si>
    <t>polysorb 3-0</t>
  </si>
  <si>
    <t>GL122</t>
  </si>
  <si>
    <t>POLYSORB 3-0</t>
  </si>
  <si>
    <t>GL182</t>
  </si>
  <si>
    <t>B0553005</t>
  </si>
  <si>
    <t>L-12</t>
  </si>
  <si>
    <t xml:space="preserve">  타(144개)</t>
  </si>
  <si>
    <t>B0554005</t>
  </si>
  <si>
    <t>polysorb 4-0</t>
  </si>
  <si>
    <t>L-11</t>
  </si>
  <si>
    <t>B0544005</t>
    <phoneticPr fontId="4" type="noConversion"/>
  </si>
  <si>
    <t>UL203</t>
  </si>
  <si>
    <t>B0545005</t>
  </si>
  <si>
    <t>polysorb 5-0</t>
  </si>
  <si>
    <t>GL885</t>
  </si>
  <si>
    <t>POLYSORB 5-0</t>
  </si>
  <si>
    <t>UL202</t>
  </si>
  <si>
    <t>B0546005</t>
  </si>
  <si>
    <t>polysorb 6-0</t>
  </si>
  <si>
    <t>UL-101</t>
  </si>
  <si>
    <t>B0013005</t>
  </si>
  <si>
    <t>Sofsilk 3-0</t>
  </si>
  <si>
    <t>GS452-2</t>
  </si>
  <si>
    <t>GS63M(멀티팩)</t>
  </si>
  <si>
    <t>타(60개)</t>
  </si>
  <si>
    <t>B0011305</t>
  </si>
  <si>
    <t>sofsilk 3-0</t>
  </si>
  <si>
    <t>s-244,non</t>
  </si>
  <si>
    <t>SOFSILK 3-0</t>
  </si>
  <si>
    <t>GS-832</t>
  </si>
  <si>
    <t>B0014005</t>
  </si>
  <si>
    <t>SOFSILK 4-0</t>
  </si>
  <si>
    <t>GS44M(멀티팩)</t>
  </si>
  <si>
    <t>B0011405</t>
  </si>
  <si>
    <t>s-183</t>
  </si>
  <si>
    <t>B0011405</t>
    <phoneticPr fontId="4" type="noConversion"/>
  </si>
  <si>
    <t>s-243</t>
  </si>
  <si>
    <t>B0015005</t>
  </si>
  <si>
    <t>Sofsilk 5-0</t>
  </si>
  <si>
    <t>ss673</t>
  </si>
  <si>
    <t>B0039405</t>
  </si>
  <si>
    <t>SURGIPRO 4-0</t>
  </si>
  <si>
    <t>VP557X-2</t>
  </si>
  <si>
    <t>B2011205</t>
  </si>
  <si>
    <t>V-LOC 90 DEVICE 2-0</t>
  </si>
  <si>
    <t>VLOCM0345</t>
  </si>
  <si>
    <t>VLOCM2145</t>
  </si>
  <si>
    <t>V-LOC 90 DEVICE 3-0</t>
  </si>
  <si>
    <t>VLOCM0614</t>
  </si>
  <si>
    <t>B0007005</t>
  </si>
  <si>
    <t>MONOSOF 7-0</t>
  </si>
  <si>
    <t>SN3686</t>
  </si>
  <si>
    <t>B0544005</t>
  </si>
  <si>
    <t>POLYSORB 4-0</t>
  </si>
  <si>
    <t>SL607</t>
  </si>
  <si>
    <t>SL1689</t>
  </si>
  <si>
    <t>SL5687</t>
  </si>
  <si>
    <t>POLYSORB 6-0</t>
  </si>
  <si>
    <t>SL1625</t>
  </si>
  <si>
    <t>B0011005</t>
  </si>
  <si>
    <t>SOFSILK 1-0</t>
  </si>
  <si>
    <t>GS65M(멀티팩0</t>
    <phoneticPr fontId="4" type="noConversion"/>
  </si>
  <si>
    <t>B2030021</t>
  </si>
  <si>
    <t>OTACK*5mm/3 (Protack)</t>
  </si>
  <si>
    <t>개(30개)</t>
  </si>
  <si>
    <t>M2044687</t>
    <phoneticPr fontId="4" type="noConversion"/>
  </si>
  <si>
    <t>JAW LAP LF1937 LIGASURE MARYLAND 37CM</t>
    <phoneticPr fontId="4" type="noConversion"/>
  </si>
  <si>
    <t>LF1937</t>
    <phoneticPr fontId="4" type="noConversion"/>
  </si>
  <si>
    <t>POLYSORB 4-0</t>
    <phoneticPr fontId="4" type="noConversion"/>
  </si>
  <si>
    <t>GL-181</t>
    <phoneticPr fontId="4" type="noConversion"/>
  </si>
  <si>
    <t>G1441312</t>
  </si>
  <si>
    <t>SYMBOTEX COMPOSITE MESH</t>
    <phoneticPr fontId="4" type="noConversion"/>
  </si>
  <si>
    <t>SYM1510F</t>
    <phoneticPr fontId="4" type="noConversion"/>
  </si>
  <si>
    <t>B2011205</t>
    <phoneticPr fontId="4" type="noConversion"/>
  </si>
  <si>
    <t>V-LOC 90 DEVICE*3-0</t>
    <phoneticPr fontId="4" type="noConversion"/>
  </si>
  <si>
    <t>VLOCM0604</t>
    <phoneticPr fontId="4" type="noConversion"/>
  </si>
  <si>
    <t>B0016005</t>
    <phoneticPr fontId="4" type="noConversion"/>
  </si>
  <si>
    <t>Sofsilk 6-0</t>
    <phoneticPr fontId="4" type="noConversion"/>
  </si>
  <si>
    <t>SS-5639</t>
    <phoneticPr fontId="4" type="noConversion"/>
  </si>
  <si>
    <t>Sofsilk 3-0</t>
    <phoneticPr fontId="4" type="noConversion"/>
  </si>
  <si>
    <t>SS-745</t>
    <phoneticPr fontId="4" type="noConversion"/>
  </si>
  <si>
    <t>인성,메딕프로코리아</t>
    <phoneticPr fontId="4" type="noConversion"/>
  </si>
  <si>
    <t xml:space="preserve">1회용 glove (비멸균 니트릴) </t>
  </si>
  <si>
    <t xml:space="preserve"> 100개/갑 </t>
  </si>
  <si>
    <t>1회용 비닐가운(AP가운)</t>
  </si>
  <si>
    <t>전규격(300장)</t>
  </si>
  <si>
    <t xml:space="preserve"> 박스 </t>
  </si>
  <si>
    <t>caremet</t>
  </si>
  <si>
    <t>545*800*10</t>
  </si>
  <si>
    <t>J4113109</t>
    <phoneticPr fontId="4" type="noConversion"/>
  </si>
  <si>
    <t>gard blue catheter(성인용)</t>
    <phoneticPr fontId="4" type="noConversion"/>
  </si>
  <si>
    <t>No.CS-27702-E(7fr)</t>
    <phoneticPr fontId="4" type="noConversion"/>
  </si>
  <si>
    <t>gard blue catheter(소아용)</t>
    <phoneticPr fontId="4" type="noConversion"/>
  </si>
  <si>
    <t>No.CS-27703-E(4fr)</t>
    <phoneticPr fontId="4" type="noConversion"/>
  </si>
  <si>
    <t>M1019025</t>
    <phoneticPr fontId="4" type="noConversion"/>
  </si>
  <si>
    <t>IV FILTER SET(Y-Port/3-way)</t>
    <phoneticPr fontId="4" type="noConversion"/>
  </si>
  <si>
    <t>SF330</t>
    <phoneticPr fontId="4" type="noConversion"/>
  </si>
  <si>
    <t>IV Regulator &amp; Filter set(Y-Port/3-way)</t>
    <phoneticPr fontId="4" type="noConversion"/>
  </si>
  <si>
    <t>SRF330</t>
    <phoneticPr fontId="4" type="noConversion"/>
  </si>
  <si>
    <t xml:space="preserve">PP gown(부직포 가운)  </t>
    <phoneticPr fontId="4" type="noConversion"/>
  </si>
  <si>
    <t>PP005</t>
    <phoneticPr fontId="4" type="noConversion"/>
  </si>
  <si>
    <t xml:space="preserve"> 박스(250개) </t>
    <phoneticPr fontId="4" type="noConversion"/>
  </si>
  <si>
    <t>기저귀(성인용)</t>
  </si>
  <si>
    <t>32"*44"*10</t>
    <phoneticPr fontId="4" type="noConversion"/>
  </si>
  <si>
    <t>일회용 베개커버 45*60</t>
  </si>
  <si>
    <t xml:space="preserve"> 박스(600개) </t>
  </si>
  <si>
    <t>침대시트(1m*2m)</t>
  </si>
  <si>
    <t xml:space="preserve"> 박스(200개) </t>
  </si>
  <si>
    <t xml:space="preserve">extension line tube non-DEHP </t>
    <phoneticPr fontId="4" type="noConversion"/>
  </si>
  <si>
    <t>100개입</t>
  </si>
  <si>
    <t xml:space="preserve">I.V set </t>
    <phoneticPr fontId="4" type="noConversion"/>
  </si>
  <si>
    <t>23G 1" 200cm</t>
  </si>
  <si>
    <t xml:space="preserve">I.V set (2ml용 Y type/50개입) non-DEHP  </t>
    <phoneticPr fontId="4" type="noConversion"/>
  </si>
  <si>
    <t>바늘 무 180cm</t>
  </si>
  <si>
    <t>중환자실</t>
    <phoneticPr fontId="4" type="noConversion"/>
  </si>
  <si>
    <t>disposable spo2 sensor</t>
    <phoneticPr fontId="4" type="noConversion"/>
  </si>
  <si>
    <t>GE type</t>
  </si>
  <si>
    <t>ECG 3lead wire</t>
  </si>
  <si>
    <t>ECG paper</t>
  </si>
  <si>
    <t>2009828-020</t>
  </si>
  <si>
    <t xml:space="preserve"> box(8권) </t>
  </si>
  <si>
    <t>226 166 05</t>
  </si>
  <si>
    <t>ECG Trunk cable</t>
  </si>
  <si>
    <t>2017003-001</t>
  </si>
  <si>
    <t>EKG paper(moniter)</t>
  </si>
  <si>
    <t>2009828-046</t>
  </si>
  <si>
    <t xml:space="preserve">  box  </t>
  </si>
  <si>
    <t>K4501370</t>
    <phoneticPr fontId="4" type="noConversion"/>
  </si>
  <si>
    <t>F&amp;P Evaqua 2 breathing Circuit</t>
  </si>
  <si>
    <t>RT 380</t>
  </si>
  <si>
    <t>중환자실/응급실</t>
    <phoneticPr fontId="4" type="noConversion"/>
  </si>
  <si>
    <t>flex tube(벤틸레이터)</t>
    <phoneticPr fontId="4" type="noConversion"/>
  </si>
  <si>
    <t>Flow sensor(벤틸레이터)</t>
  </si>
  <si>
    <t>Hepa filter(C3)</t>
  </si>
  <si>
    <t>Membrane  Cover (G5)</t>
  </si>
  <si>
    <t>Membrane (G5)</t>
  </si>
  <si>
    <t xml:space="preserve"> set </t>
  </si>
  <si>
    <t>Membrane Cover set(C3)</t>
    <phoneticPr fontId="4" type="noConversion"/>
  </si>
  <si>
    <t>C3</t>
    <phoneticPr fontId="4" type="noConversion"/>
  </si>
  <si>
    <t>Membrane Cover set(G5)</t>
  </si>
  <si>
    <t>nebulizer kit(벤틸레이터)</t>
  </si>
  <si>
    <t>C3, G5</t>
    <phoneticPr fontId="4" type="noConversion"/>
  </si>
  <si>
    <t>O2 cell(벤틸레이터)</t>
  </si>
  <si>
    <t>C3</t>
  </si>
  <si>
    <t>G5</t>
  </si>
  <si>
    <t>R-series Paper (제세동기)</t>
  </si>
  <si>
    <t>Spo2 Cable</t>
  </si>
  <si>
    <t>B40, B450</t>
  </si>
  <si>
    <t>TS-G3</t>
  </si>
  <si>
    <t>spo2 sensor</t>
  </si>
  <si>
    <t>DS-100A</t>
  </si>
  <si>
    <t>k0002098</t>
  </si>
  <si>
    <t>zoll padz</t>
  </si>
  <si>
    <t xml:space="preserve">  pack  </t>
  </si>
  <si>
    <t>Fetal monitor paper</t>
  </si>
  <si>
    <t>corometrics 172</t>
  </si>
  <si>
    <t>권</t>
    <phoneticPr fontId="4" type="noConversion"/>
  </si>
  <si>
    <t xml:space="preserve">Cotton ball </t>
  </si>
  <si>
    <t>Cotton bandage</t>
  </si>
  <si>
    <t>10×2.5</t>
  </si>
  <si>
    <t>15×2.5</t>
  </si>
  <si>
    <t>disposable alcohol sponge</t>
  </si>
  <si>
    <t>100매</t>
  </si>
  <si>
    <t>200매</t>
  </si>
  <si>
    <t>disposable alcohol sponge</t>
    <phoneticPr fontId="4" type="noConversion"/>
  </si>
  <si>
    <t>400매</t>
  </si>
  <si>
    <t>멸균 2*2 gauze</t>
  </si>
  <si>
    <t>100매(8P 2장*20포 5봉)</t>
  </si>
  <si>
    <t>K6014991</t>
    <phoneticPr fontId="4" type="noConversion"/>
  </si>
  <si>
    <t>멸균 3*4 gauze(2장)</t>
    <phoneticPr fontId="4" type="noConversion"/>
  </si>
  <si>
    <t>3"x 4"8p</t>
  </si>
  <si>
    <t>갑(100매), 50포</t>
    <phoneticPr fontId="4" type="noConversion"/>
  </si>
  <si>
    <t>멸균 3*4 gauze(5장)</t>
    <phoneticPr fontId="4" type="noConversion"/>
  </si>
  <si>
    <t xml:space="preserve">갑(100매), 20포 </t>
    <phoneticPr fontId="4" type="noConversion"/>
  </si>
  <si>
    <t>K7204186</t>
    <phoneticPr fontId="4" type="noConversion"/>
  </si>
  <si>
    <t>멸균 탄력붕대/탄력붕대(멸균)12개</t>
    <phoneticPr fontId="4" type="noConversion"/>
  </si>
  <si>
    <t>2'*2.15m(5cm*215cm)</t>
    <phoneticPr fontId="4" type="noConversion"/>
  </si>
  <si>
    <t>K7203085</t>
    <phoneticPr fontId="4" type="noConversion"/>
  </si>
  <si>
    <t>3'*2.15m(7.5cm*215cm)</t>
    <phoneticPr fontId="4" type="noConversion"/>
  </si>
  <si>
    <t>K7202186</t>
    <phoneticPr fontId="4" type="noConversion"/>
  </si>
  <si>
    <t>4'*2.15m(10cm*215cm)</t>
    <phoneticPr fontId="4" type="noConversion"/>
  </si>
  <si>
    <t>K7201186</t>
    <phoneticPr fontId="4" type="noConversion"/>
  </si>
  <si>
    <t>6'*2.15m(15cm*215cm)</t>
    <phoneticPr fontId="4" type="noConversion"/>
  </si>
  <si>
    <t>목면봉</t>
  </si>
  <si>
    <t>6" 200s</t>
  </si>
  <si>
    <t>4*4*200</t>
  </si>
  <si>
    <t>솜면봉</t>
  </si>
  <si>
    <t>6" 100s</t>
  </si>
  <si>
    <t>4×4, 450g</t>
  </si>
  <si>
    <t>종이반창고(흰색) 1"</t>
  </si>
  <si>
    <t>1"12개입</t>
  </si>
  <si>
    <t>종이반창고(흰색)1/2"</t>
  </si>
  <si>
    <t>1/2" 24개입</t>
  </si>
  <si>
    <t>K6061008</t>
    <phoneticPr fontId="4" type="noConversion"/>
  </si>
  <si>
    <t>화상거즈</t>
  </si>
  <si>
    <t>22"×30"×200</t>
  </si>
  <si>
    <t xml:space="preserve"> 매(200개) </t>
  </si>
  <si>
    <t>약제팀</t>
    <phoneticPr fontId="4" type="noConversion"/>
  </si>
  <si>
    <t>과산화수소</t>
  </si>
  <si>
    <t>250ml</t>
  </si>
  <si>
    <t>그린</t>
  </si>
  <si>
    <t xml:space="preserve">  병  </t>
  </si>
  <si>
    <t>비가열식흡인기(Atomizing supply)</t>
  </si>
  <si>
    <t>450ml</t>
  </si>
  <si>
    <t>소독용 에탄올</t>
  </si>
  <si>
    <t>시럽병</t>
  </si>
  <si>
    <t>12ml</t>
  </si>
  <si>
    <t>20ml</t>
  </si>
  <si>
    <t>60ml</t>
  </si>
  <si>
    <t>100ml</t>
  </si>
  <si>
    <t>200ml</t>
  </si>
  <si>
    <t>300ml</t>
  </si>
  <si>
    <t>일회용 항문경</t>
  </si>
  <si>
    <t>25입</t>
  </si>
  <si>
    <t>주사용 밴드</t>
  </si>
  <si>
    <t>20mm*100개</t>
  </si>
  <si>
    <t>IV Catheter</t>
  </si>
  <si>
    <t>내시경실</t>
    <phoneticPr fontId="4" type="noConversion"/>
  </si>
  <si>
    <t>J2711101</t>
    <phoneticPr fontId="4" type="noConversion"/>
  </si>
  <si>
    <t>Clip fixing device(위)</t>
    <phoneticPr fontId="4" type="noConversion"/>
  </si>
  <si>
    <t>HX-110LR</t>
    <phoneticPr fontId="4" type="noConversion"/>
  </si>
  <si>
    <t xml:space="preserve">  개(88회)재사용</t>
    <phoneticPr fontId="4" type="noConversion"/>
  </si>
  <si>
    <t>10,990*88(재사용1회용)</t>
    <phoneticPr fontId="4" type="noConversion"/>
  </si>
  <si>
    <t>Clip fixing device(대장)</t>
    <phoneticPr fontId="4" type="noConversion"/>
  </si>
  <si>
    <t>HX-110UR</t>
    <phoneticPr fontId="4" type="noConversion"/>
  </si>
  <si>
    <t>10,990*88(재사용2회용)</t>
  </si>
  <si>
    <t>J2710101</t>
    <phoneticPr fontId="4" type="noConversion"/>
  </si>
  <si>
    <t>Easy clip</t>
  </si>
  <si>
    <t>HX-610-135L</t>
    <phoneticPr fontId="4" type="noConversion"/>
  </si>
  <si>
    <t xml:space="preserve">  갑(40개)  </t>
  </si>
  <si>
    <t>11,280*40 (1개 가격)</t>
    <phoneticPr fontId="4" type="noConversion"/>
  </si>
  <si>
    <t>내시경실</t>
  </si>
  <si>
    <t>J2301301</t>
  </si>
  <si>
    <t>NM-610U-0423</t>
  </si>
  <si>
    <t>N0041005</t>
    <phoneticPr fontId="4" type="noConversion"/>
  </si>
  <si>
    <t>Biopsy forcep(위)</t>
    <phoneticPr fontId="4" type="noConversion"/>
  </si>
  <si>
    <t>FB-230K</t>
    <phoneticPr fontId="4" type="noConversion"/>
  </si>
  <si>
    <t>정액수가</t>
    <phoneticPr fontId="4" type="noConversion"/>
  </si>
  <si>
    <t>Biopsy forcep(대장)</t>
    <phoneticPr fontId="4" type="noConversion"/>
  </si>
  <si>
    <t>FB230U</t>
    <phoneticPr fontId="4" type="noConversion"/>
  </si>
  <si>
    <t>Nelatone catheter tube (멸균)</t>
  </si>
  <si>
    <t>Oxygen cannular catheter(멸균)</t>
  </si>
  <si>
    <t>2-Way</t>
  </si>
  <si>
    <t>Oxygen catheter (멸균) 일자형</t>
  </si>
  <si>
    <t>suction tube connector</t>
  </si>
  <si>
    <t>I자(10mm,20mm)</t>
  </si>
  <si>
    <t>Y자</t>
  </si>
  <si>
    <t>고농도 산소마스크</t>
  </si>
  <si>
    <t>덴탈(1회용) 마스크</t>
  </si>
  <si>
    <t>50매</t>
  </si>
  <si>
    <t>산소마스크</t>
  </si>
  <si>
    <t>멸균</t>
  </si>
  <si>
    <t>M2048007</t>
    <phoneticPr fontId="4" type="noConversion"/>
  </si>
  <si>
    <t>Thunderbeat</t>
    <phoneticPr fontId="4" type="noConversion"/>
  </si>
  <si>
    <t>TB-000900FX/TB-0920OE</t>
    <phoneticPr fontId="4" type="noConversion"/>
  </si>
  <si>
    <t>오픈형</t>
    <phoneticPr fontId="4" type="noConversion"/>
  </si>
  <si>
    <t>M2047007</t>
    <phoneticPr fontId="4" type="noConversion"/>
  </si>
  <si>
    <t>TB-0535FC</t>
    <phoneticPr fontId="4" type="noConversion"/>
  </si>
  <si>
    <t>ENDO</t>
    <phoneticPr fontId="4" type="noConversion"/>
  </si>
  <si>
    <t>튜랜듀서</t>
  </si>
  <si>
    <t>TD-TB-400</t>
  </si>
  <si>
    <t>Olympus</t>
  </si>
  <si>
    <t>Welpass</t>
    <phoneticPr fontId="4" type="noConversion"/>
  </si>
  <si>
    <t>6g</t>
    <phoneticPr fontId="4" type="noConversion"/>
  </si>
  <si>
    <t>Patient plate cable</t>
    <phoneticPr fontId="4" type="noConversion"/>
  </si>
  <si>
    <t>20194-080</t>
    <phoneticPr fontId="4" type="noConversion"/>
  </si>
  <si>
    <t>Monopolar cable</t>
    <phoneticPr fontId="4" type="noConversion"/>
  </si>
  <si>
    <t>20192-117</t>
    <phoneticPr fontId="4" type="noConversion"/>
  </si>
  <si>
    <t>Fiapc probe 2200A</t>
    <phoneticPr fontId="4" type="noConversion"/>
  </si>
  <si>
    <t>20132-221</t>
    <phoneticPr fontId="4" type="noConversion"/>
  </si>
  <si>
    <t>ENDO DISSECT*5mm</t>
  </si>
  <si>
    <t>ENDO GRASP*5mm</t>
  </si>
  <si>
    <t>ENDO SCIZ*5mm/HOOK</t>
  </si>
  <si>
    <t>ENDO SHEARS*5mm</t>
  </si>
  <si>
    <t>ENDO CLINCH*5mm</t>
  </si>
  <si>
    <t>M2044207</t>
    <phoneticPr fontId="4" type="noConversion"/>
  </si>
  <si>
    <t>POWERSEAL</t>
    <phoneticPr fontId="4" type="noConversion"/>
  </si>
  <si>
    <t>PS0537CJDA(복강경)</t>
    <phoneticPr fontId="4" type="noConversion"/>
  </si>
  <si>
    <t>M2134088</t>
    <phoneticPr fontId="4" type="noConversion"/>
  </si>
  <si>
    <t>PLATE</t>
    <phoneticPr fontId="4" type="noConversion"/>
  </si>
  <si>
    <t>20193-082</t>
    <phoneticPr fontId="4" type="noConversion"/>
  </si>
  <si>
    <t>M2136088</t>
  </si>
  <si>
    <t>ERBE omega plate(DISPOSABLE NEUTRAL ELECTRODE)</t>
  </si>
  <si>
    <t>20193-083</t>
  </si>
  <si>
    <t>M2130188</t>
  </si>
  <si>
    <t>COATED ELECTRODE ESU PENCIL</t>
  </si>
  <si>
    <t>20190-306</t>
  </si>
  <si>
    <t>BC1202YU</t>
  </si>
  <si>
    <t>8자붕대</t>
  </si>
  <si>
    <t>수성</t>
  </si>
  <si>
    <t xml:space="preserve">alumiunm splint </t>
  </si>
  <si>
    <t>국산</t>
  </si>
  <si>
    <t>K3200205</t>
    <phoneticPr fontId="4" type="noConversion"/>
  </si>
  <si>
    <t>Bile bag / 바일백(Bile Bag)</t>
    <phoneticPr fontId="4" type="noConversion"/>
  </si>
  <si>
    <t>U-400/U-400-3</t>
  </si>
  <si>
    <t>MR kit tip</t>
  </si>
  <si>
    <t>6mm</t>
  </si>
  <si>
    <t>Scalp needle  full non-DEHP</t>
    <phoneticPr fontId="4" type="noConversion"/>
  </si>
  <si>
    <t>23G, 24G</t>
  </si>
  <si>
    <t xml:space="preserve"> 갑(100개) </t>
  </si>
  <si>
    <t>Silicon suction tube</t>
  </si>
  <si>
    <t>5호</t>
  </si>
  <si>
    <t>6호</t>
  </si>
  <si>
    <t>7호</t>
  </si>
  <si>
    <t>K7001013</t>
  </si>
  <si>
    <t>surginet</t>
  </si>
  <si>
    <t>산부인과</t>
    <phoneticPr fontId="4" type="noConversion"/>
  </si>
  <si>
    <t>K2501001</t>
    <phoneticPr fontId="4" type="noConversion"/>
  </si>
  <si>
    <t xml:space="preserve">UPC-2010(칼라) </t>
  </si>
  <si>
    <t xml:space="preserve">upc-21L </t>
  </si>
  <si>
    <t xml:space="preserve"> box(200개)  </t>
  </si>
  <si>
    <t>대변기</t>
  </si>
  <si>
    <t>마취용 마스크</t>
  </si>
  <si>
    <t>비뇨의학과,산부인과</t>
    <phoneticPr fontId="4" type="noConversion"/>
  </si>
  <si>
    <t xml:space="preserve">방수용 paper </t>
  </si>
  <si>
    <t>100SH</t>
  </si>
  <si>
    <t xml:space="preserve"> 롤  </t>
  </si>
  <si>
    <t xml:space="preserve">밴드랜드(19*72mm)      </t>
  </si>
  <si>
    <t>10개입(10갑)</t>
  </si>
  <si>
    <t xml:space="preserve">밴드랜드(38*38mm)    </t>
  </si>
  <si>
    <t>8개입(8갑)</t>
  </si>
  <si>
    <t>K7901003</t>
    <phoneticPr fontId="4" type="noConversion"/>
  </si>
  <si>
    <t>복대</t>
  </si>
  <si>
    <t>소변기</t>
    <phoneticPr fontId="4" type="noConversion"/>
  </si>
  <si>
    <t>수혈셋</t>
  </si>
  <si>
    <t>신생아용 cord clamp</t>
  </si>
  <si>
    <t>신생아용 Suction ball</t>
  </si>
  <si>
    <t>블루</t>
  </si>
  <si>
    <t>팔걸이(병원 로고 인쇄)</t>
  </si>
  <si>
    <t>성인/소아</t>
  </si>
  <si>
    <t>정형외과</t>
    <phoneticPr fontId="4" type="noConversion"/>
  </si>
  <si>
    <t>K8103435</t>
    <phoneticPr fontId="4" type="noConversion"/>
  </si>
  <si>
    <t>QPLINT 단하지</t>
    <phoneticPr fontId="4" type="noConversion"/>
  </si>
  <si>
    <t xml:space="preserve"> 개  </t>
  </si>
  <si>
    <t>K8103235</t>
    <phoneticPr fontId="4" type="noConversion"/>
  </si>
  <si>
    <t>QPLINT 장하지 실린더</t>
    <phoneticPr fontId="4" type="noConversion"/>
  </si>
  <si>
    <t>M2113116</t>
  </si>
  <si>
    <t>Bipolar electrode(Loop type)</t>
  </si>
  <si>
    <t>M2116116</t>
  </si>
  <si>
    <t>Bipolar Vaporization electrode</t>
  </si>
  <si>
    <t>M2108095</t>
    <phoneticPr fontId="4" type="noConversion"/>
  </si>
  <si>
    <t>Ezrap chest</t>
  </si>
  <si>
    <t>J4113020</t>
    <phoneticPr fontId="4" type="noConversion"/>
  </si>
  <si>
    <t>prime-s</t>
  </si>
  <si>
    <t>Double</t>
    <phoneticPr fontId="12" type="noConversion"/>
  </si>
  <si>
    <t>3 way cap</t>
    <phoneticPr fontId="4" type="noConversion"/>
  </si>
  <si>
    <t>멸균</t>
    <phoneticPr fontId="4" type="noConversion"/>
  </si>
  <si>
    <t>갑(300개입)</t>
    <phoneticPr fontId="4" type="noConversion"/>
  </si>
  <si>
    <t>K4201031</t>
  </si>
  <si>
    <t>Aerosol Mask(네블라이져마스크)</t>
  </si>
  <si>
    <t>disposable 3-way</t>
    <phoneticPr fontId="4" type="noConversion"/>
  </si>
  <si>
    <t>고압용</t>
  </si>
  <si>
    <t>D0005088</t>
    <phoneticPr fontId="4" type="noConversion"/>
  </si>
  <si>
    <t>K-Wire</t>
    <phoneticPr fontId="4" type="noConversion"/>
  </si>
  <si>
    <t>K4200031</t>
    <phoneticPr fontId="4" type="noConversion"/>
  </si>
  <si>
    <t xml:space="preserve">nebulizer kit </t>
  </si>
  <si>
    <t>Poly glove</t>
  </si>
  <si>
    <t>고려, 한진양행</t>
    <phoneticPr fontId="4" type="noConversion"/>
  </si>
  <si>
    <t>K5001005</t>
    <phoneticPr fontId="4" type="noConversion"/>
  </si>
  <si>
    <t>Silastic foley catheter</t>
    <phoneticPr fontId="4" type="noConversion"/>
  </si>
  <si>
    <t>full(코팅)</t>
  </si>
  <si>
    <t>Silastic penrose Draine</t>
  </si>
  <si>
    <t>12호(녹색)</t>
  </si>
  <si>
    <t>C4005091</t>
    <phoneticPr fontId="4" type="noConversion"/>
  </si>
  <si>
    <t>Steinman pin</t>
  </si>
  <si>
    <t>K4021102</t>
  </si>
  <si>
    <t>TAPERGUARD(tracheal tube)</t>
    <phoneticPr fontId="4" type="noConversion"/>
  </si>
  <si>
    <t>5~8</t>
    <phoneticPr fontId="4" type="noConversion"/>
  </si>
  <si>
    <t>Ventri mask(Air entrainment mask)</t>
  </si>
  <si>
    <t>머커스익스프렉터 (suction trap)</t>
  </si>
  <si>
    <t>ME-50</t>
  </si>
  <si>
    <t>멸균polyglove(medium)</t>
  </si>
  <si>
    <t>100조 2매</t>
  </si>
  <si>
    <t>한신메디칼,고려양행</t>
    <phoneticPr fontId="4" type="noConversion"/>
  </si>
  <si>
    <t>200조1매</t>
  </si>
  <si>
    <t>설압자(Tongue spatula)</t>
  </si>
  <si>
    <t>15cm 100s</t>
  </si>
  <si>
    <t>disporsable dressing kit</t>
  </si>
  <si>
    <t>K0001040</t>
  </si>
  <si>
    <t>HR-OPR42</t>
  </si>
  <si>
    <t xml:space="preserve"> 봉(50개) </t>
  </si>
  <si>
    <t>Non-breathing mask</t>
  </si>
  <si>
    <t>성인</t>
  </si>
  <si>
    <t>소아</t>
  </si>
  <si>
    <t>멸균cotton ball can</t>
  </si>
  <si>
    <t>멸균Y 거즈</t>
  </si>
  <si>
    <t>5cm*5cm*8p 200s</t>
  </si>
  <si>
    <t>N0041003</t>
  </si>
  <si>
    <t>snare</t>
  </si>
  <si>
    <t>SN-RO-1530(15mm/2300mm)</t>
    <phoneticPr fontId="4" type="noConversion"/>
  </si>
  <si>
    <t>(주)엘라보메디</t>
  </si>
  <si>
    <t>일회용내시경 세척브러쉬</t>
  </si>
  <si>
    <t>SB2020D</t>
    <phoneticPr fontId="4" type="noConversion"/>
  </si>
  <si>
    <t>비아이인터내셔널</t>
    <phoneticPr fontId="4" type="noConversion"/>
  </si>
  <si>
    <t>K3006005</t>
    <phoneticPr fontId="4" type="noConversion"/>
  </si>
  <si>
    <t>Chest tube</t>
  </si>
  <si>
    <t>B2001106</t>
  </si>
  <si>
    <t>Endo loop</t>
  </si>
  <si>
    <t>5mm</t>
  </si>
  <si>
    <t>Epidural needle</t>
  </si>
  <si>
    <t>22G</t>
  </si>
  <si>
    <t>Sani sleeve</t>
  </si>
  <si>
    <t>10cm x 2m 20</t>
  </si>
  <si>
    <t>box</t>
  </si>
  <si>
    <t>TUR set</t>
  </si>
  <si>
    <t>N0101512</t>
    <phoneticPr fontId="4" type="noConversion"/>
  </si>
  <si>
    <t>cystoscopy pack</t>
  </si>
  <si>
    <t>UR-062</t>
  </si>
  <si>
    <t>KM헬스케어</t>
  </si>
  <si>
    <t>Irrigation tubing set</t>
    <phoneticPr fontId="4" type="noConversion"/>
  </si>
  <si>
    <t>A4054</t>
  </si>
  <si>
    <t>Protexis Latex Essential</t>
  </si>
  <si>
    <t>카디널헬스케어</t>
    <phoneticPr fontId="4" type="noConversion"/>
  </si>
  <si>
    <t>비뇨의학과</t>
  </si>
  <si>
    <t xml:space="preserve">Electrode </t>
  </si>
  <si>
    <t>65m/m,L160m/m</t>
    <phoneticPr fontId="4" type="noConversion"/>
  </si>
  <si>
    <t>Edap TMS</t>
    <phoneticPr fontId="4" type="noConversion"/>
  </si>
  <si>
    <t>비뇨의학과</t>
    <phoneticPr fontId="4" type="noConversion"/>
  </si>
  <si>
    <t>Membrane</t>
  </si>
  <si>
    <t>air way (멸균)</t>
    <phoneticPr fontId="4" type="noConversion"/>
  </si>
  <si>
    <t>K3011005</t>
  </si>
  <si>
    <t>Chest bottle</t>
  </si>
  <si>
    <t>Single</t>
  </si>
  <si>
    <t>Rectal tube</t>
  </si>
  <si>
    <t>silastic suction cather</t>
  </si>
  <si>
    <t>K3100105</t>
    <phoneticPr fontId="4" type="noConversion"/>
  </si>
  <si>
    <t>Urine bag / 유린백</t>
    <phoneticPr fontId="4" type="noConversion"/>
  </si>
  <si>
    <t>2000cc</t>
  </si>
  <si>
    <t>K3101005</t>
    <phoneticPr fontId="4" type="noConversion"/>
  </si>
  <si>
    <t>urine meter / 유린아우워리백</t>
    <phoneticPr fontId="4" type="noConversion"/>
  </si>
  <si>
    <t>헤파린 캡</t>
  </si>
  <si>
    <t>50mm*200m</t>
  </si>
  <si>
    <t>Rhapa, 3M,</t>
  </si>
  <si>
    <t>75mm*200m</t>
  </si>
  <si>
    <t>Rhapa, 3M</t>
  </si>
  <si>
    <t>100mm*200m</t>
  </si>
  <si>
    <t>150mm*200m</t>
  </si>
  <si>
    <t>200mm*200m</t>
  </si>
  <si>
    <t>250mm*200m</t>
  </si>
  <si>
    <t>300mm*200m</t>
  </si>
  <si>
    <t>챔버,SEP</t>
  </si>
  <si>
    <t>부직포(100장)</t>
    <phoneticPr fontId="4" type="noConversion"/>
  </si>
  <si>
    <t>110*110</t>
    <phoneticPr fontId="4" type="noConversion"/>
  </si>
  <si>
    <t>부직포(50장) 두겹</t>
    <phoneticPr fontId="4" type="noConversion"/>
  </si>
  <si>
    <t xml:space="preserve">110 x 110 </t>
  </si>
  <si>
    <t>부직포(500장)</t>
  </si>
  <si>
    <t xml:space="preserve">60 X 60 </t>
  </si>
  <si>
    <t>3M,Rhapa</t>
    <phoneticPr fontId="4" type="noConversion"/>
  </si>
  <si>
    <t>부직포(250장) 두겹</t>
    <phoneticPr fontId="4" type="noConversion"/>
  </si>
  <si>
    <t>부직포(500장) 두겹</t>
    <phoneticPr fontId="4" type="noConversion"/>
  </si>
  <si>
    <t>40 X 40</t>
  </si>
  <si>
    <t>부직포(1,000장)</t>
  </si>
  <si>
    <t>3M,Rhapa</t>
  </si>
  <si>
    <t>50 X 50</t>
  </si>
  <si>
    <t>플라즈마봉투</t>
  </si>
  <si>
    <t>75*200</t>
  </si>
  <si>
    <t>100*200</t>
  </si>
  <si>
    <t>150*200</t>
  </si>
  <si>
    <t>200*200</t>
  </si>
  <si>
    <t>400*200</t>
  </si>
  <si>
    <t>레노픽스천반창고</t>
    <phoneticPr fontId="4" type="noConversion"/>
  </si>
  <si>
    <t>5*10</t>
    <phoneticPr fontId="4" type="noConversion"/>
  </si>
  <si>
    <t>Nexgen</t>
    <phoneticPr fontId="4" type="noConversion"/>
  </si>
  <si>
    <t>M3401008</t>
  </si>
  <si>
    <t>3m V.A.C Granufoam dressing</t>
  </si>
  <si>
    <t>small</t>
  </si>
  <si>
    <t>M3402008</t>
  </si>
  <si>
    <t>medium</t>
  </si>
  <si>
    <t>M3403008</t>
  </si>
  <si>
    <t>large</t>
  </si>
  <si>
    <t>M3010013</t>
  </si>
  <si>
    <t>X-large</t>
  </si>
  <si>
    <t>M3090013</t>
    <phoneticPr fontId="4" type="noConversion"/>
  </si>
  <si>
    <t>3m ActiV.A.C Canister Gel</t>
  </si>
  <si>
    <t>M2094159</t>
    <phoneticPr fontId="4" type="noConversion"/>
  </si>
  <si>
    <t>카티졸프라임</t>
    <phoneticPr fontId="4" type="noConversion"/>
  </si>
  <si>
    <t>30(MG)/1ML</t>
  </si>
  <si>
    <t>셀론텍㈜</t>
    <phoneticPr fontId="4" type="noConversion"/>
  </si>
  <si>
    <t>M2094163</t>
    <phoneticPr fontId="4" type="noConversion"/>
  </si>
  <si>
    <t>아슬란주</t>
    <phoneticPr fontId="4" type="noConversion"/>
  </si>
  <si>
    <t>2ML</t>
    <phoneticPr fontId="4" type="noConversion"/>
  </si>
  <si>
    <t>프리플드시린지</t>
    <phoneticPr fontId="4" type="noConversion"/>
  </si>
  <si>
    <t>K8103300</t>
    <phoneticPr fontId="4" type="noConversion"/>
  </si>
  <si>
    <t>M-GIPS SHORT LEG</t>
    <phoneticPr fontId="4" type="noConversion"/>
  </si>
  <si>
    <t>mirae medical</t>
  </si>
  <si>
    <t>신발깔창</t>
    <phoneticPr fontId="4" type="noConversion"/>
  </si>
  <si>
    <t>latex suction catheter</t>
  </si>
  <si>
    <t>2-holl ( No 12,14)</t>
  </si>
  <si>
    <t>K4200016</t>
  </si>
  <si>
    <t>Eco Nebul kit</t>
  </si>
  <si>
    <t>L,S,마우스피스, 마스크/EA</t>
  </si>
  <si>
    <t>Bonree Medical co.Ltd</t>
  </si>
  <si>
    <t>M3036388</t>
    <phoneticPr fontId="4" type="noConversion"/>
  </si>
  <si>
    <t>HISORB BORDER POST OP</t>
    <phoneticPr fontId="4" type="noConversion"/>
  </si>
  <si>
    <t>6*8cm/10EA</t>
    <phoneticPr fontId="12" type="noConversion"/>
  </si>
  <si>
    <t>주)친우메드</t>
    <phoneticPr fontId="4" type="noConversion"/>
  </si>
  <si>
    <t>갑</t>
    <phoneticPr fontId="12" type="noConversion"/>
  </si>
  <si>
    <t>M3030488</t>
    <phoneticPr fontId="4" type="noConversion"/>
  </si>
  <si>
    <t>10*10cm/10EA</t>
    <phoneticPr fontId="4" type="noConversion"/>
  </si>
  <si>
    <t>M3039388</t>
    <phoneticPr fontId="4" type="noConversion"/>
  </si>
  <si>
    <t>9*15cm/10EA</t>
    <phoneticPr fontId="4" type="noConversion"/>
  </si>
  <si>
    <t>M0018044</t>
    <phoneticPr fontId="4" type="noConversion"/>
  </si>
  <si>
    <t>람파이펠</t>
  </si>
  <si>
    <t>3.0mm*24.5cm</t>
  </si>
  <si>
    <t>박스</t>
  </si>
  <si>
    <t>손가락 스프린트(개구리형)</t>
  </si>
  <si>
    <t>성인,소아/6EA</t>
  </si>
  <si>
    <t>두원셀텍</t>
  </si>
  <si>
    <t>N0101109</t>
  </si>
  <si>
    <t>Both hand pack</t>
    <phoneticPr fontId="4" type="noConversion"/>
  </si>
  <si>
    <t>BHN1710</t>
  </si>
  <si>
    <t>세종헬스케어</t>
  </si>
  <si>
    <t>Both knee  pack</t>
  </si>
  <si>
    <t>SJ BBK 100</t>
  </si>
  <si>
    <t>N0101509</t>
  </si>
  <si>
    <t>Face&amp;Nose pack</t>
  </si>
  <si>
    <t>SJ-FPS156</t>
  </si>
  <si>
    <t>hand pack</t>
  </si>
  <si>
    <t>SJ BHN303</t>
  </si>
  <si>
    <t>N0101109</t>
    <phoneticPr fontId="4" type="noConversion"/>
  </si>
  <si>
    <t>Hip pack</t>
  </si>
  <si>
    <t>SJ BHP100</t>
  </si>
  <si>
    <t>Knee Arthroscopy pack</t>
  </si>
  <si>
    <t>SJ BKN235</t>
  </si>
  <si>
    <t>Knee pack</t>
  </si>
  <si>
    <t>SJ BKN549-1</t>
  </si>
  <si>
    <t xml:space="preserve"> Utility Drape with Tape [110×100]</t>
  </si>
  <si>
    <t>SJ-GUDT1110</t>
  </si>
  <si>
    <t xml:space="preserve"> BM5101NG</t>
    <phoneticPr fontId="4" type="noConversion"/>
  </si>
  <si>
    <t>베드시트 일반형(Safe Set /Fixing-Band)</t>
  </si>
  <si>
    <t xml:space="preserve"> GSSF1222</t>
    <phoneticPr fontId="4" type="noConversion"/>
  </si>
  <si>
    <t>산정불가</t>
    <phoneticPr fontId="4" type="noConversion"/>
  </si>
  <si>
    <t xml:space="preserve">Surgical Gown XXL </t>
    <phoneticPr fontId="4" type="noConversion"/>
  </si>
  <si>
    <t>GSGW104</t>
    <phoneticPr fontId="4" type="noConversion"/>
  </si>
  <si>
    <t>EO mini indicator</t>
  </si>
  <si>
    <t>pmS213</t>
  </si>
  <si>
    <t>chamber</t>
    <phoneticPr fontId="4" type="noConversion"/>
  </si>
  <si>
    <t xml:space="preserve"> 1각(250개) </t>
  </si>
  <si>
    <t>Steam mini indicator</t>
  </si>
  <si>
    <t>PMS113</t>
  </si>
  <si>
    <t>chamber</t>
  </si>
  <si>
    <t>니트릴비멸균글러브</t>
    <phoneticPr fontId="4" type="noConversion"/>
  </si>
  <si>
    <t>free</t>
  </si>
  <si>
    <t>더블세이프,이페이커</t>
    <phoneticPr fontId="4" type="noConversion"/>
  </si>
  <si>
    <t>각(100PCS)</t>
    <phoneticPr fontId="4" type="noConversion"/>
  </si>
  <si>
    <t>라텍스 비멸균 글러브</t>
  </si>
  <si>
    <t>더블세이프, 이페이커</t>
  </si>
  <si>
    <t>수술용 멸균 글러브</t>
    <phoneticPr fontId="4" type="noConversion"/>
  </si>
  <si>
    <t>가주헬스케어</t>
    <phoneticPr fontId="4" type="noConversion"/>
  </si>
  <si>
    <t xml:space="preserve"> 각(50pairs)</t>
    <phoneticPr fontId="4" type="noConversion"/>
  </si>
  <si>
    <t>Bowie Dick test pack</t>
    <phoneticPr fontId="4" type="noConversion"/>
  </si>
  <si>
    <t>BDS121</t>
    <phoneticPr fontId="4" type="noConversion"/>
  </si>
  <si>
    <t xml:space="preserve"> 1각(50개)</t>
    <phoneticPr fontId="4" type="noConversion"/>
  </si>
  <si>
    <t>Steam mini indicator(type5)</t>
    <phoneticPr fontId="4" type="noConversion"/>
  </si>
  <si>
    <t>PMS151-2.5</t>
    <phoneticPr fontId="4" type="noConversion"/>
  </si>
  <si>
    <t>EO mini indicator(type5)</t>
    <phoneticPr fontId="4" type="noConversion"/>
  </si>
  <si>
    <t>pmS251-2.5</t>
    <phoneticPr fontId="4" type="noConversion"/>
  </si>
  <si>
    <t>M6610203</t>
    <phoneticPr fontId="4" type="noConversion"/>
  </si>
  <si>
    <t>에어웨이 엔도튜브 홀더 AWG ETH</t>
    <phoneticPr fontId="4" type="noConversion"/>
  </si>
  <si>
    <t>#0 ~5</t>
    <phoneticPr fontId="4" type="noConversion"/>
  </si>
  <si>
    <t>인성메디칼</t>
    <phoneticPr fontId="4" type="noConversion"/>
  </si>
  <si>
    <t>L3002202</t>
    <phoneticPr fontId="4" type="noConversion"/>
  </si>
  <si>
    <t xml:space="preserve">Natura Plus pouch  </t>
  </si>
  <si>
    <t>L3106102</t>
  </si>
  <si>
    <t>Natura soft flange</t>
  </si>
  <si>
    <t>L3105012</t>
    <phoneticPr fontId="4" type="noConversion"/>
  </si>
  <si>
    <t>Nature Moldable Durahesive</t>
  </si>
  <si>
    <t>L3105102</t>
  </si>
  <si>
    <t>L3202002</t>
    <phoneticPr fontId="4" type="noConversion"/>
  </si>
  <si>
    <t>stomasive paste</t>
  </si>
  <si>
    <t>56.7gm</t>
  </si>
  <si>
    <t>L3201002</t>
  </si>
  <si>
    <t>stomasive power</t>
  </si>
  <si>
    <t>28.3g</t>
  </si>
  <si>
    <t>L3203102</t>
    <phoneticPr fontId="4" type="noConversion"/>
  </si>
  <si>
    <t>stomasive seal</t>
    <phoneticPr fontId="4" type="noConversion"/>
  </si>
  <si>
    <t>48mm</t>
    <phoneticPr fontId="4" type="noConversion"/>
  </si>
  <si>
    <t>BL3007BQ</t>
    <phoneticPr fontId="4" type="noConversion"/>
  </si>
  <si>
    <t>Esenta skin barrier spray</t>
    <phoneticPr fontId="4" type="noConversion"/>
  </si>
  <si>
    <t>50ml</t>
    <phoneticPr fontId="4" type="noConversion"/>
  </si>
  <si>
    <t>BL3003MV</t>
    <phoneticPr fontId="4" type="noConversion"/>
  </si>
  <si>
    <t>Esenta Adhesive remover</t>
    <phoneticPr fontId="4" type="noConversion"/>
  </si>
  <si>
    <t>M3030250</t>
  </si>
  <si>
    <t>Allevyn heel</t>
  </si>
  <si>
    <t>10.5*13.5</t>
  </si>
  <si>
    <t>스미스앤드네퓨</t>
  </si>
  <si>
    <t>Finger splint</t>
  </si>
  <si>
    <t>건우</t>
  </si>
  <si>
    <t>T/바조기</t>
  </si>
  <si>
    <t>아미글로벌</t>
  </si>
  <si>
    <t>Theraband</t>
  </si>
  <si>
    <t>Velpeau bandage</t>
    <phoneticPr fontId="4" type="noConversion"/>
  </si>
  <si>
    <t>석고신발</t>
  </si>
  <si>
    <t>에어케스트</t>
  </si>
  <si>
    <t>오서코리아</t>
  </si>
  <si>
    <t>테니스엘보우</t>
  </si>
  <si>
    <t>K4502070</t>
    <phoneticPr fontId="4" type="noConversion"/>
  </si>
  <si>
    <t>Fisher airvo breathing circuit</t>
    <phoneticPr fontId="4" type="noConversion"/>
  </si>
  <si>
    <t>900PT561</t>
    <phoneticPr fontId="4" type="noConversion"/>
  </si>
  <si>
    <t>Fisher &amp; Paykel Healthcare Limited</t>
    <phoneticPr fontId="4" type="noConversion"/>
  </si>
  <si>
    <t>Expiratory filter</t>
    <phoneticPr fontId="4" type="noConversion"/>
  </si>
  <si>
    <t>PB 980</t>
    <phoneticPr fontId="4" type="noConversion"/>
  </si>
  <si>
    <t>Nebulizer kit (벤틸레이터)</t>
    <phoneticPr fontId="4" type="noConversion"/>
  </si>
  <si>
    <t>이비인후과</t>
  </si>
  <si>
    <t>ABR 전극</t>
    <phoneticPr fontId="4" type="noConversion"/>
  </si>
  <si>
    <t>VIVOSONIC</t>
    <phoneticPr fontId="4" type="noConversion"/>
  </si>
  <si>
    <t>pack(25개입)</t>
    <phoneticPr fontId="4" type="noConversion"/>
  </si>
  <si>
    <t>N0051013</t>
    <phoneticPr fontId="4" type="noConversion"/>
  </si>
  <si>
    <t>ENT Shaver blade</t>
  </si>
  <si>
    <t>Bien-air</t>
    <phoneticPr fontId="4" type="noConversion"/>
  </si>
  <si>
    <t>l2701002</t>
    <phoneticPr fontId="4" type="noConversion"/>
  </si>
  <si>
    <t>EVAC 70HP</t>
    <phoneticPr fontId="4" type="noConversion"/>
  </si>
  <si>
    <t>EIC5874-01</t>
  </si>
  <si>
    <t>스미스앤네퓨</t>
    <phoneticPr fontId="4" type="noConversion"/>
  </si>
  <si>
    <t>stomahesive seal</t>
  </si>
  <si>
    <t>l2013001</t>
    <phoneticPr fontId="4" type="noConversion"/>
  </si>
  <si>
    <t>Nasopore Standard</t>
    <phoneticPr fontId="4" type="noConversion"/>
  </si>
  <si>
    <t>standard(4cm)</t>
    <phoneticPr fontId="4" type="noConversion"/>
  </si>
  <si>
    <t>Strayker</t>
    <phoneticPr fontId="4" type="noConversion"/>
  </si>
  <si>
    <t>NUPREP(gel)</t>
    <phoneticPr fontId="4" type="noConversion"/>
  </si>
  <si>
    <t>NATUS Medical</t>
    <phoneticPr fontId="4" type="noConversion"/>
  </si>
  <si>
    <t>l2501002</t>
    <phoneticPr fontId="4" type="noConversion"/>
  </si>
  <si>
    <t>REFLEX ULTRA PTR</t>
  </si>
  <si>
    <t>스미스앤네퓨</t>
  </si>
  <si>
    <t>K4322010</t>
    <phoneticPr fontId="4" type="noConversion"/>
  </si>
  <si>
    <t>Tracoe twist tube</t>
    <phoneticPr fontId="4" type="noConversion"/>
  </si>
  <si>
    <t>전규격(306-7제외)</t>
    <phoneticPr fontId="4" type="noConversion"/>
  </si>
  <si>
    <t>TRACOE</t>
    <phoneticPr fontId="4" type="noConversion"/>
  </si>
  <si>
    <t>K4321110</t>
    <phoneticPr fontId="4" type="noConversion"/>
  </si>
  <si>
    <t>Tracoe twist tube</t>
  </si>
  <si>
    <t>306-7</t>
    <phoneticPr fontId="4" type="noConversion"/>
  </si>
  <si>
    <t>I2111201</t>
    <phoneticPr fontId="4" type="noConversion"/>
  </si>
  <si>
    <t>nasal splint</t>
  </si>
  <si>
    <t>Spiggle&amp;Theis</t>
  </si>
  <si>
    <t>Ambubag set(mask, resrvoir bag 포함)</t>
    <phoneticPr fontId="4" type="noConversion"/>
  </si>
  <si>
    <t>성인용</t>
  </si>
  <si>
    <t>모우메디컬</t>
    <phoneticPr fontId="4" type="noConversion"/>
  </si>
  <si>
    <t>J4176160</t>
  </si>
  <si>
    <t>KARAHOC SET</t>
    <phoneticPr fontId="4" type="noConversion"/>
  </si>
  <si>
    <t>4.5cm/5000ml</t>
  </si>
  <si>
    <t xml:space="preserve"> DALIM CORPORATION </t>
  </si>
  <si>
    <t>공급실/응급실</t>
    <phoneticPr fontId="4" type="noConversion"/>
  </si>
  <si>
    <t>K4021031</t>
  </si>
  <si>
    <t>Tuoren Endo-tube</t>
    <phoneticPr fontId="4" type="noConversion"/>
  </si>
  <si>
    <t>HENAN TUOREN MEDICAL DEVICE CO</t>
  </si>
  <si>
    <t>J4121031</t>
  </si>
  <si>
    <t>TruWave DPT Kit</t>
  </si>
  <si>
    <t xml:space="preserve"> Double</t>
  </si>
  <si>
    <t>에드워즈라이프사이언시스코리아</t>
  </si>
  <si>
    <t>J4120031</t>
  </si>
  <si>
    <t>single</t>
  </si>
  <si>
    <t>K8103195</t>
  </si>
  <si>
    <t>본깁스(BONGIPS)단상지</t>
    <phoneticPr fontId="4" type="noConversion"/>
  </si>
  <si>
    <t>㈜지메딕스코리아</t>
  </si>
  <si>
    <t>K8103395</t>
    <phoneticPr fontId="4" type="noConversion"/>
  </si>
  <si>
    <t>본깁스(BONGIPS)단하지</t>
    <phoneticPr fontId="4" type="noConversion"/>
  </si>
  <si>
    <t>K8100095</t>
    <phoneticPr fontId="4" type="noConversion"/>
  </si>
  <si>
    <t>본깁스(BONGIPS)장상지</t>
    <phoneticPr fontId="4" type="noConversion"/>
  </si>
  <si>
    <t>K8103095</t>
  </si>
  <si>
    <t>본깁스(BONGIPS)장하지실린더</t>
    <phoneticPr fontId="4" type="noConversion"/>
  </si>
  <si>
    <t>HME 필터/산소라인</t>
    <phoneticPr fontId="4" type="noConversion"/>
  </si>
  <si>
    <t>Pharma system AB</t>
    <phoneticPr fontId="4" type="noConversion"/>
  </si>
  <si>
    <t>K4400027</t>
    <phoneticPr fontId="4" type="noConversion"/>
  </si>
  <si>
    <t>cricothyrotomy</t>
    <phoneticPr fontId="4" type="noConversion"/>
  </si>
  <si>
    <t>COOK INCORPORATED</t>
    <phoneticPr fontId="4" type="noConversion"/>
  </si>
  <si>
    <t>K4507128</t>
    <phoneticPr fontId="4" type="noConversion"/>
  </si>
  <si>
    <t>기도삽관유도기</t>
    <phoneticPr fontId="4" type="noConversion"/>
  </si>
  <si>
    <t>휴메드인터네셔널</t>
    <phoneticPr fontId="4" type="noConversion"/>
  </si>
  <si>
    <t>Codman Disposable Perforator, 14mm</t>
  </si>
  <si>
    <t>26-1221</t>
    <phoneticPr fontId="4" type="noConversion"/>
  </si>
  <si>
    <t>CODMAN &amp; SHURTLEFF, INC.</t>
    <phoneticPr fontId="4" type="noConversion"/>
  </si>
  <si>
    <t>수술실/안과</t>
    <phoneticPr fontId="4" type="noConversion"/>
  </si>
  <si>
    <t>Eye Shield TSC-500L</t>
  </si>
  <si>
    <t>TOP MEDICAL</t>
  </si>
  <si>
    <t>Irrigation Needle Tip 27G 100es/bx</t>
  </si>
  <si>
    <t>HAESOL MEDITECH</t>
    <phoneticPr fontId="4" type="noConversion"/>
  </si>
  <si>
    <t>갑(100개입)</t>
    <phoneticPr fontId="4" type="noConversion"/>
  </si>
  <si>
    <t>M2129008</t>
    <phoneticPr fontId="4" type="noConversion"/>
  </si>
  <si>
    <t>RANEY CLIP</t>
  </si>
  <si>
    <t>20-1037</t>
    <phoneticPr fontId="4" type="noConversion"/>
  </si>
  <si>
    <t>CODMAN &amp; SHURTLEFF, INC.</t>
  </si>
  <si>
    <t>Ultra Lens (T-Lens)치료용렌즈</t>
    <phoneticPr fontId="4" type="noConversion"/>
  </si>
  <si>
    <t>BAUSCH+LOMB</t>
  </si>
  <si>
    <t>갑(6개입)</t>
    <phoneticPr fontId="4" type="noConversion"/>
  </si>
  <si>
    <t>에이치엠씨엔에프산</t>
  </si>
  <si>
    <t>1kg</t>
    <phoneticPr fontId="4" type="noConversion"/>
  </si>
  <si>
    <t>㈜엠에이치헬스케어</t>
  </si>
  <si>
    <t>Insole</t>
  </si>
  <si>
    <t>주문제작</t>
  </si>
  <si>
    <t>knee brace</t>
  </si>
  <si>
    <t>좌/우</t>
  </si>
  <si>
    <t>L-sling</t>
  </si>
  <si>
    <t>장일메디칼,오르텍</t>
  </si>
  <si>
    <t>정형외과/공급실</t>
    <phoneticPr fontId="4" type="noConversion"/>
  </si>
  <si>
    <t>K8103058</t>
    <phoneticPr fontId="4" type="noConversion"/>
  </si>
  <si>
    <t>Smart splint</t>
  </si>
  <si>
    <t>㈜하린테크</t>
  </si>
  <si>
    <t>clavicle splint (2XS , XS)</t>
  </si>
  <si>
    <t>(2XS , XS)</t>
  </si>
  <si>
    <t>BC1203RE</t>
  </si>
  <si>
    <t>필라델피아</t>
  </si>
  <si>
    <t>대,중,소</t>
  </si>
  <si>
    <t>BC1201YU</t>
    <phoneticPr fontId="4" type="noConversion"/>
  </si>
  <si>
    <t xml:space="preserve">coller(Neck)  brace </t>
  </si>
  <si>
    <t>대, 중, 소</t>
  </si>
  <si>
    <t>Elbow brace</t>
  </si>
  <si>
    <t>클로셉트17 발포정</t>
    <phoneticPr fontId="4" type="noConversion"/>
  </si>
  <si>
    <t>200정</t>
    <phoneticPr fontId="4" type="noConversion"/>
  </si>
  <si>
    <t>medentech</t>
    <phoneticPr fontId="4" type="noConversion"/>
  </si>
  <si>
    <t>병</t>
    <phoneticPr fontId="4" type="noConversion"/>
  </si>
  <si>
    <t>Vaserin oint</t>
  </si>
  <si>
    <t>450g</t>
  </si>
  <si>
    <t>구미</t>
    <phoneticPr fontId="4" type="noConversion"/>
  </si>
  <si>
    <t xml:space="preserve"> 병 </t>
  </si>
  <si>
    <t>헥시탄놀이티 2%액</t>
  </si>
  <si>
    <t>500ml</t>
  </si>
  <si>
    <t>㈜퍼슨</t>
  </si>
  <si>
    <t>2% 리도카인 Jelly</t>
  </si>
  <si>
    <t>120g/tube</t>
  </si>
  <si>
    <t xml:space="preserve"> ㈜퍼슨, 한국파마 </t>
  </si>
  <si>
    <t>수술실/이비인후과</t>
    <phoneticPr fontId="4" type="noConversion"/>
  </si>
  <si>
    <t>dental Lido caine</t>
  </si>
  <si>
    <t>1:10만</t>
    <phoneticPr fontId="4" type="noConversion"/>
  </si>
  <si>
    <t>유한양행</t>
  </si>
  <si>
    <t xml:space="preserve">  box(50개입)  </t>
    <phoneticPr fontId="4" type="noConversion"/>
  </si>
  <si>
    <t>글리세린</t>
  </si>
  <si>
    <t>1kg</t>
  </si>
  <si>
    <t>구미</t>
  </si>
  <si>
    <t>내시경실/이비인후과</t>
    <phoneticPr fontId="4" type="noConversion"/>
  </si>
  <si>
    <t>베라카인</t>
  </si>
  <si>
    <t>50ml</t>
  </si>
  <si>
    <t>헥시딘스틱스왑2%</t>
  </si>
  <si>
    <t>2매/1p/50p</t>
  </si>
  <si>
    <t>포비돈스틱스왑액</t>
    <phoneticPr fontId="4" type="noConversion"/>
  </si>
  <si>
    <t>1.5ml*2개/50입</t>
    <phoneticPr fontId="4" type="noConversion"/>
  </si>
  <si>
    <t>그린제약</t>
    <phoneticPr fontId="4" type="noConversion"/>
  </si>
  <si>
    <t>포비돈요오드스크럽</t>
    <phoneticPr fontId="4" type="noConversion"/>
  </si>
  <si>
    <t>15ml</t>
    <phoneticPr fontId="4" type="noConversion"/>
  </si>
  <si>
    <t>큐앤큐팜</t>
    <phoneticPr fontId="4" type="noConversion"/>
  </si>
  <si>
    <t>갑(20개)</t>
    <phoneticPr fontId="4" type="noConversion"/>
  </si>
  <si>
    <t>아비텐압축형</t>
    <phoneticPr fontId="14" type="noConversion"/>
  </si>
  <si>
    <t>70*35*1</t>
    <phoneticPr fontId="14" type="noConversion"/>
  </si>
  <si>
    <t>나노팜</t>
    <phoneticPr fontId="14" type="noConversion"/>
  </si>
  <si>
    <t>개</t>
    <phoneticPr fontId="14" type="noConversion"/>
  </si>
  <si>
    <t>플로실 헤모스태틱매트릭스</t>
    <phoneticPr fontId="14" type="noConversion"/>
  </si>
  <si>
    <t>5ml</t>
    <phoneticPr fontId="14" type="noConversion"/>
  </si>
  <si>
    <t>박스터코리아</t>
    <phoneticPr fontId="14" type="noConversion"/>
  </si>
  <si>
    <t>헥시딘스크랍</t>
    <phoneticPr fontId="4" type="noConversion"/>
  </si>
  <si>
    <t>사라야 세니자임</t>
  </si>
  <si>
    <t>㈜크린피스</t>
  </si>
  <si>
    <t>사라야 손소독비누 샤보 BCG</t>
  </si>
  <si>
    <t>알소프트액</t>
  </si>
  <si>
    <t>㈜사라야코리아</t>
  </si>
  <si>
    <t>사니사라W(1L)</t>
    <phoneticPr fontId="4" type="noConversion"/>
  </si>
  <si>
    <t>1L</t>
    <phoneticPr fontId="4" type="noConversion"/>
  </si>
  <si>
    <t>㈜크린피스</t>
    <phoneticPr fontId="4" type="noConversion"/>
  </si>
  <si>
    <t>사니사라W(500ml)</t>
    <phoneticPr fontId="4" type="noConversion"/>
  </si>
  <si>
    <t>500ml</t>
    <phoneticPr fontId="4" type="noConversion"/>
  </si>
  <si>
    <t>큐탄플라스트스폰지</t>
    <phoneticPr fontId="4" type="noConversion"/>
  </si>
  <si>
    <t>(80*50*10)</t>
  </si>
  <si>
    <t>큐어시스</t>
    <phoneticPr fontId="4" type="noConversion"/>
  </si>
  <si>
    <t>20개/1box</t>
    <phoneticPr fontId="4" type="noConversion"/>
  </si>
  <si>
    <t>(애널)(80*30)</t>
  </si>
  <si>
    <t>20개/2box</t>
  </si>
  <si>
    <t>E.O gas cartridge</t>
  </si>
  <si>
    <t>8-170</t>
  </si>
  <si>
    <t xml:space="preserve"> box(12개) </t>
  </si>
  <si>
    <t>L9021001</t>
  </si>
  <si>
    <t>Drägersorb Free Soda Lime</t>
    <phoneticPr fontId="4" type="noConversion"/>
  </si>
  <si>
    <t>MX50100</t>
  </si>
  <si>
    <t>Draeger</t>
    <phoneticPr fontId="4" type="noConversion"/>
  </si>
  <si>
    <t>WaterLock 2, 12ea/set</t>
    <phoneticPr fontId="4" type="noConversion"/>
  </si>
  <si>
    <t>Infinity ID Flowsensor</t>
    <phoneticPr fontId="4" type="noConversion"/>
  </si>
  <si>
    <t>Head gear large</t>
  </si>
  <si>
    <t>MP01562</t>
    <phoneticPr fontId="4" type="noConversion"/>
  </si>
  <si>
    <t>M3011028</t>
  </si>
  <si>
    <t>SORBACT SURGICAL DRESSING</t>
  </si>
  <si>
    <t>5*7.2</t>
  </si>
  <si>
    <t>(주)쥬디스코퍼레이션</t>
  </si>
  <si>
    <t>1box (50ea)</t>
  </si>
  <si>
    <t>M3011128</t>
    <phoneticPr fontId="4" type="noConversion"/>
  </si>
  <si>
    <t>8*10</t>
  </si>
  <si>
    <t>1box (20ea)</t>
  </si>
  <si>
    <t>M3011228</t>
    <phoneticPr fontId="4" type="noConversion"/>
  </si>
  <si>
    <t>8*15</t>
  </si>
  <si>
    <t>M3011428</t>
    <phoneticPr fontId="4" type="noConversion"/>
  </si>
  <si>
    <t>M3011528</t>
    <phoneticPr fontId="4" type="noConversion"/>
  </si>
  <si>
    <t>10*25</t>
  </si>
  <si>
    <t>M3011628</t>
    <phoneticPr fontId="4" type="noConversion"/>
  </si>
  <si>
    <t>SORBACT ABSORPTION DRESSING</t>
  </si>
  <si>
    <t>1box (10ea)</t>
  </si>
  <si>
    <t>M3020182</t>
    <phoneticPr fontId="4" type="noConversion"/>
  </si>
  <si>
    <t>M3011328</t>
    <phoneticPr fontId="4" type="noConversion"/>
  </si>
  <si>
    <t>7*9</t>
  </si>
  <si>
    <t>M3074028</t>
  </si>
  <si>
    <t>SORBACT RIBBON GAUZE</t>
  </si>
  <si>
    <t>5*200</t>
  </si>
  <si>
    <t>M3073028</t>
    <phoneticPr fontId="4" type="noConversion"/>
  </si>
  <si>
    <t>2*50</t>
  </si>
  <si>
    <t>M3990628</t>
    <phoneticPr fontId="4" type="noConversion"/>
  </si>
  <si>
    <t>SORBACT COMPRESS</t>
  </si>
  <si>
    <t>1box (40ea)</t>
  </si>
  <si>
    <t>M3990028</t>
    <phoneticPr fontId="4" type="noConversion"/>
  </si>
  <si>
    <t>4*6</t>
  </si>
  <si>
    <t>M3040128</t>
    <phoneticPr fontId="4" type="noConversion"/>
  </si>
  <si>
    <t>SORBACT GEL DRESSING</t>
  </si>
  <si>
    <t>M3043028</t>
    <phoneticPr fontId="4" type="noConversion"/>
  </si>
  <si>
    <t>7.5*15</t>
  </si>
  <si>
    <t>M3990428</t>
    <phoneticPr fontId="4" type="noConversion"/>
  </si>
  <si>
    <t>SORBACT F DRESSING</t>
  </si>
  <si>
    <t>M3990528</t>
    <phoneticPr fontId="4" type="noConversion"/>
  </si>
  <si>
    <t>비뇨기과</t>
    <phoneticPr fontId="4" type="noConversion"/>
  </si>
  <si>
    <t>Bx Gun</t>
  </si>
  <si>
    <t>MEDAX</t>
  </si>
  <si>
    <t>BOX</t>
  </si>
  <si>
    <t>2-lumen urethral catheters</t>
  </si>
  <si>
    <t>9021P5062</t>
  </si>
  <si>
    <t>bioengineering</t>
  </si>
  <si>
    <t>2-lumen rectal catheters</t>
  </si>
  <si>
    <t>9022P4422</t>
  </si>
  <si>
    <t>M2094158</t>
    <phoneticPr fontId="4" type="noConversion"/>
  </si>
  <si>
    <t>콘쥬란</t>
    <phoneticPr fontId="4" type="noConversion"/>
  </si>
  <si>
    <t>PRM-002</t>
    <phoneticPr fontId="4" type="noConversion"/>
  </si>
  <si>
    <t>파마리서치</t>
    <phoneticPr fontId="4" type="noConversion"/>
  </si>
  <si>
    <t>아티풀</t>
    <phoneticPr fontId="4" type="noConversion"/>
  </si>
  <si>
    <t>2ml/5관</t>
    <phoneticPr fontId="4" type="noConversion"/>
  </si>
  <si>
    <t>2027년도 남원·군산의료원 위생재료 입찰 내역서</t>
    <phoneticPr fontId="4" type="noConversion"/>
  </si>
  <si>
    <t>27년예정수량</t>
    <phoneticPr fontId="4" type="noConversion"/>
  </si>
  <si>
    <t>군산</t>
    <phoneticPr fontId="4" type="noConversion"/>
  </si>
  <si>
    <t>남원</t>
    <phoneticPr fontId="4" type="noConversion"/>
  </si>
  <si>
    <t>코반 (1582)</t>
  </si>
  <si>
    <t>2"</t>
  </si>
  <si>
    <t>비급여</t>
  </si>
  <si>
    <t>비급여</t>
    <phoneticPr fontId="4" type="noConversion"/>
  </si>
  <si>
    <t xml:space="preserve"> 갑 </t>
    <phoneticPr fontId="4" type="noConversion"/>
  </si>
  <si>
    <t xml:space="preserve"> 롤 </t>
    <phoneticPr fontId="4" type="noConversion"/>
  </si>
  <si>
    <t xml:space="preserve"> 롤 </t>
    <phoneticPr fontId="4" type="noConversion"/>
  </si>
  <si>
    <t>공급실</t>
    <phoneticPr fontId="4" type="noConversion"/>
  </si>
  <si>
    <t xml:space="preserve"> 개 </t>
    <phoneticPr fontId="4" type="noConversion"/>
  </si>
  <si>
    <t>테가덤 (1626)</t>
  </si>
  <si>
    <t>10cmx12cm</t>
  </si>
  <si>
    <t>닐 언더패드</t>
  </si>
  <si>
    <t>1538-3</t>
  </si>
  <si>
    <t>Durapore surgical tape 3"</t>
  </si>
  <si>
    <t>1538-1</t>
  </si>
  <si>
    <t>Durapore surgical tape 1"</t>
  </si>
  <si>
    <t>클라비클브레이스</t>
  </si>
  <si>
    <t>BC1202JK</t>
  </si>
  <si>
    <t>750ml</t>
  </si>
  <si>
    <t>Aniosyme Foam</t>
  </si>
  <si>
    <t>30*30</t>
  </si>
  <si>
    <t>멸균포(30*30)</t>
    <phoneticPr fontId="4" type="noConversion"/>
  </si>
  <si>
    <t>45*45</t>
  </si>
  <si>
    <t>멸균포(45*45)</t>
    <phoneticPr fontId="4" type="noConversion"/>
  </si>
  <si>
    <t>50*50</t>
  </si>
  <si>
    <t>멸균포(50*50)</t>
    <phoneticPr fontId="4" type="noConversion"/>
  </si>
  <si>
    <t>비급여</t>
    <phoneticPr fontId="4" type="noConversion"/>
  </si>
  <si>
    <t>60*60</t>
    <phoneticPr fontId="4" type="noConversion"/>
  </si>
  <si>
    <t>멸균포(60*60)</t>
    <phoneticPr fontId="4" type="noConversion"/>
  </si>
  <si>
    <t>소독테이프(스팀용)0.5"</t>
  </si>
  <si>
    <t>허벅지용(3045)</t>
  </si>
  <si>
    <t>VenaFlow Cuff(편측)</t>
  </si>
  <si>
    <t>K7420250</t>
  </si>
  <si>
    <t>Easy Splint (암보드)</t>
  </si>
  <si>
    <t>남원</t>
    <phoneticPr fontId="4" type="noConversion"/>
  </si>
  <si>
    <t>목</t>
  </si>
  <si>
    <t>설압자 (멸균) 50개</t>
  </si>
  <si>
    <t>1"</t>
  </si>
  <si>
    <t>마이크로포(스킨톤테이프 1533-1)1"</t>
  </si>
  <si>
    <t>0.5"</t>
  </si>
  <si>
    <t>마이크로포(스킨톤테이프1533-0)0.5"</t>
  </si>
  <si>
    <t>마이크로포 (1530-1)1"</t>
  </si>
  <si>
    <t>마이크로포 (1530-0)0.5"</t>
  </si>
  <si>
    <t>K8502035</t>
  </si>
  <si>
    <t>Smile Cast (White)</t>
  </si>
  <si>
    <t>롤</t>
  </si>
  <si>
    <t>Mepilex border sacrum</t>
  </si>
  <si>
    <t>M3030991</t>
  </si>
  <si>
    <t>22*23</t>
  </si>
  <si>
    <t>Mepilex border Heel</t>
  </si>
  <si>
    <t>M3030990</t>
  </si>
  <si>
    <t xml:space="preserve">Mepilex </t>
  </si>
  <si>
    <t>M3030979</t>
  </si>
  <si>
    <t>DEMS성인 산소케뉼라</t>
  </si>
  <si>
    <t>BM5100CV</t>
  </si>
  <si>
    <t>(군산) curavac / (남원) CURA PUSF</t>
    <phoneticPr fontId="4" type="noConversion"/>
  </si>
  <si>
    <t>공급실</t>
    <phoneticPr fontId="4" type="noConversion"/>
  </si>
  <si>
    <t>(군산) Winged Surecan needle r자 / (남원) Winged surecan</t>
    <phoneticPr fontId="4" type="noConversion"/>
  </si>
  <si>
    <t>(군산)19G/22G
(남원) 전규격</t>
    <phoneticPr fontId="4" type="noConversion"/>
  </si>
  <si>
    <t>(군산) curavac / (남원) CURA Medium</t>
    <phoneticPr fontId="4" type="noConversion"/>
  </si>
  <si>
    <t>(군산) curavac / (남원) CURA Large</t>
    <phoneticPr fontId="4" type="noConversion"/>
  </si>
  <si>
    <t>4/0</t>
  </si>
  <si>
    <t>Monosyn (4/0)</t>
  </si>
  <si>
    <t>3/0</t>
  </si>
  <si>
    <t>Monosyn (3/0)</t>
  </si>
  <si>
    <t>B0543014</t>
  </si>
  <si>
    <t>수술실</t>
    <phoneticPr fontId="4" type="noConversion"/>
  </si>
  <si>
    <t>2/0</t>
  </si>
  <si>
    <t>Monosyn (2/0)</t>
  </si>
  <si>
    <t>B0542014</t>
  </si>
  <si>
    <t>1/0</t>
  </si>
  <si>
    <t>Monosyn (1/0)</t>
  </si>
  <si>
    <t>B0541014</t>
  </si>
  <si>
    <t>Monosyn (1)</t>
  </si>
  <si>
    <t>B0531014</t>
  </si>
  <si>
    <t>J6041031</t>
  </si>
  <si>
    <t>J5201411</t>
  </si>
  <si>
    <t>PTFE GUIDE WIRE</t>
  </si>
  <si>
    <t>품목별 보험코드 동일</t>
    <phoneticPr fontId="4" type="noConversion"/>
  </si>
  <si>
    <t>6*24
6*26</t>
    <phoneticPr fontId="4" type="noConversion"/>
  </si>
  <si>
    <t>TRIA SOFT STENT
TRIA SOFT STENT</t>
    <phoneticPr fontId="4" type="noConversion"/>
  </si>
  <si>
    <t>수술실</t>
    <phoneticPr fontId="4" type="noConversion"/>
  </si>
  <si>
    <t>수술실</t>
    <phoneticPr fontId="4" type="noConversion"/>
  </si>
  <si>
    <t>ethibond 2</t>
    <phoneticPr fontId="4" type="noConversion"/>
  </si>
  <si>
    <t>B0082001</t>
  </si>
  <si>
    <t>수술실</t>
    <phoneticPr fontId="4" type="noConversion"/>
  </si>
  <si>
    <t>250g</t>
  </si>
  <si>
    <t>Electrode Gel</t>
  </si>
  <si>
    <t>필라델피아(DR.MED-CERVICAL(경추부))</t>
    <phoneticPr fontId="4" type="noConversion"/>
  </si>
  <si>
    <t>BC1203RE</t>
    <phoneticPr fontId="4" type="noConversion"/>
  </si>
  <si>
    <t>네프로스토미 카테터</t>
  </si>
  <si>
    <t>J4042034</t>
  </si>
  <si>
    <t>16G</t>
  </si>
  <si>
    <t>Angiocath Plus</t>
  </si>
  <si>
    <t>Suture Ethibond</t>
  </si>
  <si>
    <t>B0029201</t>
  </si>
  <si>
    <t>수술실</t>
    <phoneticPr fontId="4" type="noConversion"/>
  </si>
  <si>
    <t>C004D</t>
  </si>
  <si>
    <t>Suture Mersilk(96)</t>
  </si>
  <si>
    <t>B0014001</t>
  </si>
  <si>
    <t>C003D</t>
  </si>
  <si>
    <t>B0013001</t>
  </si>
  <si>
    <t>수술실</t>
    <phoneticPr fontId="4" type="noConversion"/>
  </si>
  <si>
    <t>Suture Mersilk(12*17) W202</t>
  </si>
  <si>
    <t>B0011301</t>
  </si>
  <si>
    <t>Suture Mersilk(12*17) W203</t>
  </si>
  <si>
    <t>B0011201</t>
  </si>
  <si>
    <t>Suture Mersilk(12*17) W204</t>
  </si>
  <si>
    <t>B0011101</t>
  </si>
  <si>
    <t>Prolene 2/0(12)</t>
  </si>
  <si>
    <t>B0039201</t>
  </si>
  <si>
    <t>Prolene 3/0(12)</t>
  </si>
  <si>
    <t>B0039301</t>
  </si>
  <si>
    <t>Prolene 1(12)</t>
  </si>
  <si>
    <t>B0030001</t>
  </si>
  <si>
    <t>수술실</t>
    <phoneticPr fontId="4" type="noConversion"/>
  </si>
  <si>
    <t>Prolene 4/0(12)</t>
  </si>
  <si>
    <t>B0039401</t>
  </si>
  <si>
    <t>7/0</t>
  </si>
  <si>
    <t>Prolene 7/0(36)</t>
  </si>
  <si>
    <t>B0039701</t>
  </si>
  <si>
    <t>Mersilk(12*17)</t>
  </si>
  <si>
    <t>B0071101</t>
  </si>
  <si>
    <t>수술실</t>
    <phoneticPr fontId="4" type="noConversion"/>
  </si>
  <si>
    <t>Anti-Vicryl 2(36)</t>
  </si>
  <si>
    <t>B0732001</t>
  </si>
  <si>
    <t>Anti-Vicryl 1(36)</t>
    <phoneticPr fontId="4" type="noConversion"/>
  </si>
  <si>
    <t>B0731001</t>
  </si>
  <si>
    <t>Vicryl 1/0</t>
  </si>
  <si>
    <t>B0541001</t>
  </si>
  <si>
    <t>납 lead glove</t>
  </si>
  <si>
    <t>수술실</t>
    <phoneticPr fontId="4" type="noConversion"/>
  </si>
  <si>
    <t>B0061001</t>
    <phoneticPr fontId="4" type="noConversion"/>
  </si>
  <si>
    <t>Suture Wire</t>
  </si>
  <si>
    <t>Steinmann Pin</t>
  </si>
  <si>
    <t>C4005010</t>
  </si>
  <si>
    <t>K-wire</t>
  </si>
  <si>
    <t>D0005010</t>
  </si>
  <si>
    <t>Athro-tubing set</t>
  </si>
  <si>
    <t>수술실</t>
    <phoneticPr fontId="4" type="noConversion"/>
  </si>
  <si>
    <t>Bone wax(12)</t>
  </si>
  <si>
    <t>수술실</t>
    <phoneticPr fontId="4" type="noConversion"/>
  </si>
  <si>
    <t>9263A</t>
  </si>
  <si>
    <t>Gater 4.2 mm blade</t>
  </si>
  <si>
    <t>Disposable spoid</t>
  </si>
  <si>
    <t>Prolene Mesh</t>
  </si>
  <si>
    <t>L4004005</t>
  </si>
  <si>
    <t>수술실</t>
    <phoneticPr fontId="4" type="noConversion"/>
  </si>
  <si>
    <t>10*40</t>
  </si>
  <si>
    <t>cotton roid</t>
  </si>
  <si>
    <t>VICRYLPLUS VCP602H(36)</t>
    <phoneticPr fontId="4" type="noConversion"/>
  </si>
  <si>
    <t>B0742001</t>
  </si>
  <si>
    <t>신규</t>
    <phoneticPr fontId="4" type="noConversion"/>
  </si>
  <si>
    <t>VICRYLPLUS VCP752D(8*12)</t>
    <phoneticPr fontId="4" type="noConversion"/>
  </si>
  <si>
    <t>B0741001</t>
  </si>
  <si>
    <t>Antifog Sol(Ultra stop)</t>
  </si>
  <si>
    <t>수술실</t>
    <phoneticPr fontId="4" type="noConversion"/>
  </si>
  <si>
    <t>POWERGLIDE PRO MIDLINE CATHETER</t>
  </si>
  <si>
    <t>J4220005</t>
  </si>
  <si>
    <t>BD PosiFlush Saline Syringes</t>
  </si>
  <si>
    <t>M1013007</t>
  </si>
  <si>
    <t>1492V</t>
  </si>
  <si>
    <t>Attest Super RapidReadout (스팀용BI)50개</t>
  </si>
  <si>
    <t>(군산) Label-k 리본 (잉크) / (남원)Steri- lavel Catridge</t>
    <phoneticPr fontId="4" type="noConversion"/>
  </si>
  <si>
    <t>1.2cm*6pcs</t>
  </si>
  <si>
    <t>Steri-strip 1547</t>
  </si>
  <si>
    <t>(군산) Cliper Blade / (남원) Surgical Clipper Blade</t>
    <phoneticPr fontId="4" type="noConversion"/>
  </si>
  <si>
    <t>1243R, Type5</t>
  </si>
  <si>
    <t>멸균기(스팀용) Internal indicator(500개)</t>
  </si>
  <si>
    <t>1243B, Type5</t>
  </si>
  <si>
    <t>멸균기(스팀용) Internal indicator(100개)</t>
  </si>
  <si>
    <t>바이오로지칼 인디케이터(EO용BI)50개</t>
    <phoneticPr fontId="4" type="noConversion"/>
  </si>
  <si>
    <t>KK056</t>
    <phoneticPr fontId="4" type="noConversion"/>
  </si>
  <si>
    <t>ea</t>
  </si>
  <si>
    <t>Hand Sanitizer 600ml</t>
  </si>
  <si>
    <t>EAG-1</t>
  </si>
  <si>
    <t>Eye Guard</t>
  </si>
  <si>
    <t>9*25</t>
  </si>
  <si>
    <t>Tegadum+pad</t>
  </si>
  <si>
    <t>M3204030</t>
  </si>
  <si>
    <t>M3203030</t>
  </si>
  <si>
    <t>5*7 6*10 9*10</t>
  </si>
  <si>
    <t>M3202030</t>
  </si>
  <si>
    <t>1",  1322-24</t>
  </si>
  <si>
    <t>소독테이프(스팀용)1"</t>
  </si>
  <si>
    <t>1500ml</t>
  </si>
  <si>
    <t>ACE-VAC PLUS+</t>
  </si>
  <si>
    <t>K3002102</t>
  </si>
  <si>
    <t>32*22cm</t>
  </si>
  <si>
    <t>페이스쉴드</t>
  </si>
  <si>
    <t>M2090060</t>
  </si>
  <si>
    <t>멸균포(1Box=1000ea)</t>
  </si>
  <si>
    <t>40*40</t>
  </si>
  <si>
    <t>가온,가습용</t>
  </si>
  <si>
    <t>OmniOx Circuit Set(호흡회로)</t>
  </si>
  <si>
    <t>K4502065</t>
  </si>
  <si>
    <t xml:space="preserve">세정용 60cc </t>
  </si>
  <si>
    <t>syringe Disposable(25개)/일회용주사기</t>
  </si>
  <si>
    <t>50cc 1¼"21G</t>
  </si>
  <si>
    <t>30cc 1¼"21G</t>
  </si>
  <si>
    <t>syringe Disposable(50개)/일회용주사기</t>
  </si>
  <si>
    <t>20cc 1½"18G</t>
  </si>
  <si>
    <t>20cc 1¼"21G</t>
  </si>
  <si>
    <t>26G60mm</t>
  </si>
  <si>
    <t>Disposable needle(100개)/일회용주사침</t>
    <phoneticPr fontId="4" type="noConversion"/>
  </si>
  <si>
    <t>Disposable needle(100개)/일회용주사침</t>
  </si>
  <si>
    <t>5"x45"</t>
  </si>
  <si>
    <t>K8324113</t>
  </si>
  <si>
    <t>5"x30"</t>
  </si>
  <si>
    <t>K8321113</t>
  </si>
  <si>
    <t>4"x30"</t>
  </si>
  <si>
    <t>K8314113</t>
  </si>
  <si>
    <t>4"x15"</t>
  </si>
  <si>
    <t>K8312113</t>
  </si>
  <si>
    <t>3"x35"</t>
  </si>
  <si>
    <t>K8310113</t>
  </si>
  <si>
    <t>3"x12"</t>
  </si>
  <si>
    <t>K8305113</t>
  </si>
  <si>
    <t>13x10cm</t>
  </si>
  <si>
    <t>레노폼 힐</t>
  </si>
  <si>
    <t>M3032547</t>
  </si>
  <si>
    <t>10*10cm
(남원) 10*10 전규격</t>
    <phoneticPr fontId="4" type="noConversion"/>
  </si>
  <si>
    <t>(군산) 레노폼 (2mm / 5mm) / (남원) 레노폼</t>
    <phoneticPr fontId="4" type="noConversion"/>
  </si>
  <si>
    <t>7F,20cm</t>
  </si>
  <si>
    <t>투루멘CVC</t>
  </si>
  <si>
    <t>J4112009</t>
  </si>
  <si>
    <t>면</t>
  </si>
  <si>
    <t>반창고</t>
  </si>
  <si>
    <t>나비침</t>
  </si>
  <si>
    <t>-</t>
  </si>
  <si>
    <t>그린피스</t>
    <phoneticPr fontId="4" type="noConversion"/>
  </si>
  <si>
    <t>건강증진센터/내시경실</t>
    <phoneticPr fontId="4" type="noConversion"/>
  </si>
  <si>
    <t>국산품</t>
  </si>
  <si>
    <t>일반형</t>
  </si>
  <si>
    <t>일회용밴드</t>
  </si>
  <si>
    <t>알루미늄스프린트</t>
  </si>
  <si>
    <t>세운</t>
  </si>
  <si>
    <t>12N</t>
  </si>
  <si>
    <t>실리콘펜로스드레인</t>
  </si>
  <si>
    <t>석고신발(칼라)</t>
  </si>
  <si>
    <t>BC1201YU</t>
    <phoneticPr fontId="4" type="noConversion"/>
  </si>
  <si>
    <t>토마스칼라브레이스</t>
    <phoneticPr fontId="4" type="noConversion"/>
  </si>
  <si>
    <t>박스</t>
    <phoneticPr fontId="4" type="noConversion"/>
  </si>
  <si>
    <t>10mm</t>
  </si>
  <si>
    <t>ENDO CLIP MLⅡ(176657)(20W)(20발)</t>
    <phoneticPr fontId="4" type="noConversion"/>
  </si>
  <si>
    <t>TA6048S</t>
  </si>
  <si>
    <t>TA 60-4.8 RELOADABLE STAPLER</t>
  </si>
  <si>
    <t>B1501001</t>
  </si>
  <si>
    <t>수술실</t>
    <phoneticPr fontId="4" type="noConversion"/>
  </si>
  <si>
    <t>TA6048L</t>
  </si>
  <si>
    <t>TA 60-4.8 SGL USE LOAD UNIT</t>
  </si>
  <si>
    <t>B1001001</t>
  </si>
  <si>
    <t>GIA6038S</t>
  </si>
  <si>
    <t>DST GIA 60-3.8(S)(GIA6038S)</t>
  </si>
  <si>
    <t>B1601001</t>
  </si>
  <si>
    <t>GIA6038L</t>
  </si>
  <si>
    <t>DST GIA 60-3.8(D)(GIA6038L)</t>
  </si>
  <si>
    <t>B1011001</t>
  </si>
  <si>
    <t>EGIA45AMT</t>
  </si>
  <si>
    <t>ENDO GIA 45 MED THICK(EGIA45AMT)</t>
  </si>
  <si>
    <t>B1111001</t>
  </si>
  <si>
    <t>..</t>
  </si>
  <si>
    <t>ENDO GIA UNIVERSIAL(EGIAUSTND)</t>
  </si>
  <si>
    <t>B1802001</t>
  </si>
  <si>
    <t>60mm</t>
  </si>
  <si>
    <t>ENDO GIA 60 MED THICK(EGIA60AMT)</t>
  </si>
  <si>
    <t>B1112011</t>
  </si>
  <si>
    <t>80-3.8mm</t>
  </si>
  <si>
    <t>DST GIA 80-3.8(S)(GIA8038S)</t>
  </si>
  <si>
    <t>DST GIA 80-3.8(D)(GIA8038L)</t>
    <phoneticPr fontId="4" type="noConversion"/>
  </si>
  <si>
    <t>B1012001</t>
  </si>
  <si>
    <t xml:space="preserve"> 비급여 </t>
  </si>
  <si>
    <t>1.88m / REF 281637</t>
  </si>
  <si>
    <t>Disposable flow sensor</t>
    <phoneticPr fontId="4" type="noConversion"/>
  </si>
  <si>
    <t>EA</t>
  </si>
  <si>
    <t>M1038681</t>
  </si>
  <si>
    <t>Entropy sensor (분리형)</t>
  </si>
  <si>
    <t>L9002270</t>
  </si>
  <si>
    <t>수술실</t>
    <phoneticPr fontId="4" type="noConversion"/>
  </si>
  <si>
    <t>M1174413</t>
  </si>
  <si>
    <t>Entropy easyfit sensor(일체형)</t>
  </si>
  <si>
    <t>L9002170</t>
  </si>
  <si>
    <t>2079796-001</t>
  </si>
  <si>
    <t>Medisorb EX(sodalime)</t>
  </si>
  <si>
    <t>Multi disposable sodalime</t>
  </si>
  <si>
    <t>L9021001</t>
    <phoneticPr fontId="4" type="noConversion"/>
  </si>
  <si>
    <t>2097307-001</t>
  </si>
  <si>
    <t>Gas Smpline Line</t>
    <phoneticPr fontId="4" type="noConversion"/>
  </si>
  <si>
    <t>K4505170</t>
    <phoneticPr fontId="4" type="noConversion"/>
  </si>
  <si>
    <t>비급여</t>
    <phoneticPr fontId="4" type="noConversion"/>
  </si>
  <si>
    <t>봉</t>
    <phoneticPr fontId="4" type="noConversion"/>
  </si>
  <si>
    <t>개별포장/100개입</t>
    <phoneticPr fontId="4" type="noConversion"/>
  </si>
  <si>
    <t>멸균솜면봉</t>
    <phoneticPr fontId="4" type="noConversion"/>
  </si>
  <si>
    <t>비급여</t>
    <phoneticPr fontId="4" type="noConversion"/>
  </si>
  <si>
    <t>봉</t>
  </si>
  <si>
    <t>4*4*8p(2매)</t>
  </si>
  <si>
    <t>멸균 Y거즈</t>
  </si>
  <si>
    <t>4*4*8p(5매) 20팩</t>
  </si>
  <si>
    <t>멸균거즈</t>
  </si>
  <si>
    <t>4*4*8p(2매) 20팩</t>
  </si>
  <si>
    <t>비급여</t>
    <phoneticPr fontId="4" type="noConversion"/>
  </si>
  <si>
    <t>2*2*8p(2매) 20팩</t>
  </si>
  <si>
    <t>코튼볼</t>
  </si>
  <si>
    <t>6"x18m</t>
  </si>
  <si>
    <t>스타키넷6"</t>
  </si>
  <si>
    <t>4"x18m</t>
  </si>
  <si>
    <t>스타키넷4"</t>
  </si>
  <si>
    <t>6"</t>
  </si>
  <si>
    <t>솜붕대6"</t>
  </si>
  <si>
    <t>솜붕대4"</t>
  </si>
  <si>
    <t>4" x 8"</t>
  </si>
  <si>
    <t>가아제(12겹100매)</t>
  </si>
  <si>
    <t>K6003603</t>
    <phoneticPr fontId="4" type="noConversion"/>
  </si>
  <si>
    <t>4" x 4"</t>
  </si>
  <si>
    <t>가아제(8겹200매)</t>
  </si>
  <si>
    <t>K6046223</t>
    <phoneticPr fontId="4" type="noConversion"/>
  </si>
  <si>
    <t>2" x 2"</t>
  </si>
  <si>
    <t>K6056223</t>
    <phoneticPr fontId="4" type="noConversion"/>
  </si>
  <si>
    <t>15cm*215cm</t>
  </si>
  <si>
    <t>탄력붕대(12개)</t>
  </si>
  <si>
    <t>K7201123</t>
    <phoneticPr fontId="4" type="noConversion"/>
  </si>
  <si>
    <t>10cm*215cm</t>
  </si>
  <si>
    <t>K7202123</t>
    <phoneticPr fontId="4" type="noConversion"/>
  </si>
  <si>
    <t>7cm*215cm</t>
  </si>
  <si>
    <t>K7203123</t>
    <phoneticPr fontId="4" type="noConversion"/>
  </si>
  <si>
    <t>5cm*215cm</t>
  </si>
  <si>
    <t>K7204123</t>
    <phoneticPr fontId="4" type="noConversion"/>
  </si>
  <si>
    <t>IRT6030</t>
  </si>
  <si>
    <t>고막체온계</t>
  </si>
  <si>
    <t>권</t>
  </si>
  <si>
    <t>M&amp;C5000</t>
  </si>
  <si>
    <t>3채널 EKG페이퍼(300매)</t>
  </si>
  <si>
    <t>K0022011</t>
  </si>
  <si>
    <t>M&amp;C1200, MAC2000</t>
  </si>
  <si>
    <t>3채널 EKG페이퍼(150매)</t>
  </si>
  <si>
    <t>100g</t>
  </si>
  <si>
    <t>서지칼젤리</t>
  </si>
  <si>
    <t>18-24G</t>
  </si>
  <si>
    <t>IV 카테타</t>
  </si>
  <si>
    <t>HX-610-090L</t>
  </si>
  <si>
    <t>EZ-Clip</t>
  </si>
  <si>
    <t>J2710101</t>
  </si>
  <si>
    <t>(군산) injector / (남원) Disposable Injector</t>
    <phoneticPr fontId="4" type="noConversion"/>
  </si>
  <si>
    <t>Bx forcep(재생용)</t>
  </si>
  <si>
    <t>2mm / 2.8mm</t>
    <phoneticPr fontId="4" type="noConversion"/>
  </si>
  <si>
    <t>Bx forcep(1회용)</t>
  </si>
  <si>
    <t>N0041005</t>
  </si>
  <si>
    <t>재사용 1회용</t>
    <phoneticPr fontId="4" type="noConversion"/>
  </si>
  <si>
    <t>Clip fixing device</t>
  </si>
  <si>
    <t>위 스프레이</t>
  </si>
  <si>
    <t>대장 스프레이</t>
  </si>
  <si>
    <t>Opening Cleaning Brush</t>
  </si>
  <si>
    <t>재사용 
1회용:J5301101</t>
    <phoneticPr fontId="4" type="noConversion"/>
  </si>
  <si>
    <t>개</t>
    <phoneticPr fontId="4" type="noConversion"/>
  </si>
  <si>
    <t>FG-46U</t>
  </si>
  <si>
    <t>Grasping Forceps</t>
  </si>
  <si>
    <t>Distal Attachment(대장캡)</t>
  </si>
  <si>
    <t>내시경실</t>
    <phoneticPr fontId="4" type="noConversion"/>
  </si>
  <si>
    <t>Bovie Plate(체외형의료용전극)</t>
    <phoneticPr fontId="4" type="noConversion"/>
  </si>
  <si>
    <t>M2134002</t>
  </si>
  <si>
    <t>MAJ-901</t>
  </si>
  <si>
    <t>Water Container</t>
  </si>
  <si>
    <t>BW-20T</t>
  </si>
  <si>
    <t>Washing Brush</t>
  </si>
  <si>
    <t>건강증진센터/내시경실</t>
    <phoneticPr fontId="4" type="noConversion"/>
  </si>
  <si>
    <t>Suction Button</t>
  </si>
  <si>
    <t>A/W Button</t>
  </si>
  <si>
    <t>수술실</t>
    <phoneticPr fontId="4" type="noConversion"/>
  </si>
  <si>
    <t>M2052329</t>
    <phoneticPr fontId="4" type="noConversion"/>
  </si>
  <si>
    <t>THE PORT(6)</t>
    <phoneticPr fontId="4" type="noConversion"/>
  </si>
  <si>
    <t>12*100</t>
    <phoneticPr fontId="4" type="noConversion"/>
  </si>
  <si>
    <t>M2052081</t>
  </si>
  <si>
    <t>5-75mm
11-75mm</t>
    <phoneticPr fontId="4" type="noConversion"/>
  </si>
  <si>
    <t>품목별 보험코드 동일</t>
    <phoneticPr fontId="4" type="noConversion"/>
  </si>
  <si>
    <t>수술실</t>
    <phoneticPr fontId="4" type="noConversion"/>
  </si>
  <si>
    <t>TD-SB-400</t>
  </si>
  <si>
    <t>LAP-IX</t>
  </si>
  <si>
    <t>공급실</t>
    <phoneticPr fontId="4" type="noConversion"/>
  </si>
  <si>
    <t>수술실/공급실</t>
  </si>
  <si>
    <t>네블라이저마스크</t>
  </si>
  <si>
    <t>K4201031</t>
    <phoneticPr fontId="4" type="noConversion"/>
  </si>
  <si>
    <t>네블라이저키트</t>
  </si>
  <si>
    <t>K4200031</t>
    <phoneticPr fontId="4" type="noConversion"/>
  </si>
  <si>
    <t>일회용쓰리웨이</t>
  </si>
  <si>
    <t xml:space="preserve"> 전규격(멸균Valve부착)</t>
  </si>
  <si>
    <t>셕션카테타 (라텍스)</t>
  </si>
  <si>
    <t xml:space="preserve"> 전규격(멸균Valve부착) </t>
  </si>
  <si>
    <t>셕션카테타 (PVC)</t>
  </si>
  <si>
    <t>산소캐뉼라</t>
  </si>
  <si>
    <t>A형</t>
  </si>
  <si>
    <t>드레싱포셉키트</t>
  </si>
  <si>
    <t>전규격(멸균제품)</t>
  </si>
  <si>
    <t>네라톤카테타</t>
  </si>
  <si>
    <t>B0531009</t>
  </si>
  <si>
    <t>서지소브(SURGISORB)1</t>
  </si>
  <si>
    <t>SV113G</t>
  </si>
  <si>
    <t>삼양</t>
  </si>
  <si>
    <t>B0541009</t>
  </si>
  <si>
    <t>서지소브(SURGISORB)1/0</t>
  </si>
  <si>
    <t>SV012G</t>
  </si>
  <si>
    <t>B0542009</t>
  </si>
  <si>
    <t>서지소브(SURGISORB)2/0</t>
  </si>
  <si>
    <t>규격별 보험코드 동일</t>
    <phoneticPr fontId="4" type="noConversion"/>
  </si>
  <si>
    <t>B0543009</t>
  </si>
  <si>
    <t>서지소브(SURGISORB)3/0</t>
  </si>
  <si>
    <t>규격별 보험코드 동일</t>
    <phoneticPr fontId="4" type="noConversion"/>
  </si>
  <si>
    <t>B0544009</t>
  </si>
  <si>
    <t>서지소브(SURGISORB)4/0</t>
  </si>
  <si>
    <t>SV415G</t>
  </si>
  <si>
    <t>B0545009</t>
  </si>
  <si>
    <t>서지소브(SURGISORB)5/0</t>
  </si>
  <si>
    <t>SV513G</t>
  </si>
  <si>
    <t>B0546009</t>
  </si>
  <si>
    <t>서지소브(SURGISORB)6/0</t>
  </si>
  <si>
    <t>SU61MG</t>
  </si>
  <si>
    <t>K5001032</t>
  </si>
  <si>
    <t>덕후 실리콘 폴리카테터</t>
    <phoneticPr fontId="4" type="noConversion"/>
  </si>
  <si>
    <t>14FR</t>
  </si>
  <si>
    <t>한독메디텍</t>
  </si>
  <si>
    <t>덕후 실리콘 폴리카테터</t>
  </si>
  <si>
    <t>16FR</t>
  </si>
  <si>
    <t>18FR</t>
  </si>
  <si>
    <t>BM5114HF</t>
  </si>
  <si>
    <t>에이덤 롤 반창고</t>
  </si>
  <si>
    <t>에버레이드</t>
  </si>
  <si>
    <t>공급실</t>
    <phoneticPr fontId="4" type="noConversion"/>
  </si>
  <si>
    <t>Convatec</t>
  </si>
  <si>
    <t>Esteen Plus Drainable Clipless Pouch</t>
  </si>
  <si>
    <t>L3011013</t>
    <phoneticPr fontId="4" type="noConversion"/>
  </si>
  <si>
    <t>콜로스토미파우치</t>
  </si>
  <si>
    <t>L3002002</t>
  </si>
  <si>
    <t>유로스토미파우치</t>
  </si>
  <si>
    <t>L3101002</t>
  </si>
  <si>
    <t>EKG일렉트로이드</t>
    <phoneticPr fontId="4" type="noConversion"/>
  </si>
  <si>
    <t>Upp-110HD</t>
  </si>
  <si>
    <t>110mmX20m</t>
  </si>
  <si>
    <t>Upp-110HG</t>
  </si>
  <si>
    <t>니트릴장갑 (powder free)100개</t>
  </si>
  <si>
    <t>Halyard, Shamrock, 대명</t>
  </si>
  <si>
    <t>라텍스튜브</t>
  </si>
  <si>
    <t>4~7s호</t>
  </si>
  <si>
    <t>비재호흡마스크 Non-Rebreathing Mask</t>
  </si>
  <si>
    <t>수액세트</t>
  </si>
  <si>
    <t>Y</t>
  </si>
  <si>
    <t>아이실더패취</t>
  </si>
  <si>
    <t>신생아용</t>
  </si>
  <si>
    <t>유린콜렉타(100매)</t>
  </si>
  <si>
    <t>100ML</t>
  </si>
  <si>
    <t>일회용장갑(Poly Giove)200매</t>
  </si>
  <si>
    <t>한진양행</t>
  </si>
  <si>
    <t>내복환침 2호</t>
  </si>
  <si>
    <t>2호</t>
  </si>
  <si>
    <t>팩</t>
  </si>
  <si>
    <t>내복환침 3호</t>
  </si>
  <si>
    <t>3호</t>
  </si>
  <si>
    <t>내복환침 5호</t>
  </si>
  <si>
    <t>내복환침 6호</t>
  </si>
  <si>
    <t>내장환침 3호</t>
  </si>
  <si>
    <t>블랙실크</t>
  </si>
  <si>
    <t>B0017006</t>
  </si>
  <si>
    <t>6/0</t>
  </si>
  <si>
    <t>B0016006</t>
  </si>
  <si>
    <t>5/0</t>
  </si>
  <si>
    <t>B0015006</t>
  </si>
  <si>
    <t>B0014006</t>
  </si>
  <si>
    <t>B0013006</t>
  </si>
  <si>
    <t>B0012006</t>
  </si>
  <si>
    <t>B0011006</t>
  </si>
  <si>
    <t>수술실</t>
    <phoneticPr fontId="4" type="noConversion"/>
  </si>
  <si>
    <t>메스날(100개)</t>
  </si>
  <si>
    <t>나일론(Nylon)</t>
  </si>
  <si>
    <t>B0007006</t>
  </si>
  <si>
    <t>B0006006</t>
  </si>
  <si>
    <t>B0005006</t>
  </si>
  <si>
    <t>B0004006</t>
  </si>
  <si>
    <t>B0003006</t>
  </si>
  <si>
    <t>B0002006</t>
  </si>
  <si>
    <t>B0001006</t>
  </si>
  <si>
    <t>450ML</t>
  </si>
  <si>
    <t>멸균증류수팩(비가열식흡입기)</t>
  </si>
  <si>
    <t>250ml</t>
    <phoneticPr fontId="4" type="noConversion"/>
  </si>
  <si>
    <t>초음파젤리(소노젤리)</t>
  </si>
  <si>
    <t>개별포장</t>
  </si>
  <si>
    <t>일회용알콜솜</t>
  </si>
  <si>
    <t>31x8mm</t>
  </si>
  <si>
    <t>노보파인</t>
  </si>
  <si>
    <t>고막체온계프르브카바(20개)</t>
  </si>
  <si>
    <t>N0120001</t>
  </si>
  <si>
    <t>3cc23G1"</t>
  </si>
  <si>
    <t>(주)상아프론테크</t>
  </si>
  <si>
    <t>알콜스왑부직포(100매)</t>
  </si>
  <si>
    <t>㈜삼현제약</t>
  </si>
  <si>
    <t>알콜스왑부직포(200매)</t>
  </si>
  <si>
    <t>인젝상처밴드35mm</t>
  </si>
  <si>
    <t>180매</t>
  </si>
  <si>
    <t>㈜대일제약</t>
  </si>
  <si>
    <t>캐릭터 인젝 상처밴드 20</t>
  </si>
  <si>
    <t>20mm*100매</t>
  </si>
  <si>
    <t>알코올(소독용에탄올)</t>
  </si>
  <si>
    <t>Pre Klenz</t>
  </si>
  <si>
    <t>Steris</t>
  </si>
  <si>
    <t>Prolystica Restore</t>
  </si>
  <si>
    <t>1C45AW</t>
  </si>
  <si>
    <t>Prolystica Ultra Enzyme</t>
  </si>
  <si>
    <t>1C03T4</t>
  </si>
  <si>
    <t>Prolystica Ultra Lubricant</t>
  </si>
  <si>
    <t>1C05T4</t>
  </si>
  <si>
    <t>Prolystica Ultra Neutral Detergent</t>
  </si>
  <si>
    <t>1C07T4</t>
  </si>
  <si>
    <t>Washer Indicator(100개)</t>
  </si>
  <si>
    <t>LCC012</t>
  </si>
  <si>
    <t>Printer Paper(3ea/box)</t>
  </si>
  <si>
    <t>93914-204</t>
  </si>
  <si>
    <t>영상의학실</t>
    <phoneticPr fontId="4" type="noConversion"/>
  </si>
  <si>
    <t>SDS MPI (MP-KIT) (CT시린지)</t>
    <phoneticPr fontId="4" type="noConversion"/>
  </si>
  <si>
    <t>SDS MP1</t>
  </si>
  <si>
    <t>바이엘</t>
  </si>
  <si>
    <t>SPD-250 (커넥라인)</t>
  </si>
  <si>
    <t>SPD-250</t>
  </si>
  <si>
    <t>영상의학실</t>
    <phoneticPr fontId="4" type="noConversion"/>
  </si>
  <si>
    <t>Disposable Kit for MR Injector</t>
  </si>
  <si>
    <t>XP65/115 VS</t>
  </si>
  <si>
    <t>M1102098</t>
  </si>
  <si>
    <t>IV SPM FILTER LINE</t>
  </si>
  <si>
    <t>SER-10</t>
  </si>
  <si>
    <t>누리메디칼</t>
  </si>
  <si>
    <t>pack</t>
    <phoneticPr fontId="4" type="noConversion"/>
  </si>
  <si>
    <t>품목별 보험코드 동일</t>
    <phoneticPr fontId="4" type="noConversion"/>
  </si>
  <si>
    <t>수술실</t>
    <phoneticPr fontId="4" type="noConversion"/>
  </si>
  <si>
    <t>품목별 보험코드 동일</t>
    <phoneticPr fontId="4" type="noConversion"/>
  </si>
  <si>
    <t>수술실/산부인과</t>
    <phoneticPr fontId="4" type="noConversion"/>
  </si>
  <si>
    <t>Hip Pack</t>
  </si>
  <si>
    <t>OS-197-S</t>
  </si>
  <si>
    <t>수술실</t>
    <phoneticPr fontId="4" type="noConversion"/>
  </si>
  <si>
    <t>Knee-Pack</t>
  </si>
  <si>
    <t>OS-189-S</t>
  </si>
  <si>
    <t>A/S Shoulder Pack</t>
  </si>
  <si>
    <t>OS-025-5-S</t>
  </si>
  <si>
    <t>OS Spine Psck</t>
  </si>
  <si>
    <t>NS-049-S</t>
  </si>
  <si>
    <t>수술실/순환기내과</t>
    <phoneticPr fontId="4" type="noConversion"/>
  </si>
  <si>
    <t>Surgical gown(XL)</t>
  </si>
  <si>
    <t>GWM-803</t>
  </si>
  <si>
    <t>Surgical Gown(XXL)</t>
  </si>
  <si>
    <t>GWM-804</t>
  </si>
  <si>
    <t>Betafoam ADF 5*5(2mm)</t>
  </si>
  <si>
    <t>5cm*5cm</t>
  </si>
  <si>
    <t>(주)제네웰화성지사</t>
  </si>
  <si>
    <t>Betafoam ADF 10*10(2mm)</t>
  </si>
  <si>
    <t>10cm*10cm</t>
  </si>
  <si>
    <t>순환기내과/영상의학실</t>
    <phoneticPr fontId="4" type="noConversion"/>
  </si>
  <si>
    <t>FEMORAL ANGIOGRAPHY 1(중재적 시술팩)</t>
    <phoneticPr fontId="4" type="noConversion"/>
  </si>
  <si>
    <t>ANP-028</t>
  </si>
  <si>
    <t>PACK</t>
  </si>
  <si>
    <t>순환기내과</t>
    <phoneticPr fontId="4" type="noConversion"/>
  </si>
  <si>
    <t>FEMORAL ANGIOGRAPHY 2(중재적 시술팩(검사용))</t>
    <phoneticPr fontId="4" type="noConversion"/>
  </si>
  <si>
    <t>ANP-028-1</t>
  </si>
  <si>
    <t>Peri cover</t>
  </si>
  <si>
    <t>PER-101(BOX/500EA)</t>
  </si>
  <si>
    <t>M3102124</t>
  </si>
  <si>
    <t>Securederm 부직포 5*7(2.5*4)-50s</t>
    <phoneticPr fontId="4" type="noConversion"/>
  </si>
  <si>
    <t>SNWD57</t>
  </si>
  <si>
    <t>SHANGHAI WELLONG MEDICAL MATERIALS CO., LTD</t>
  </si>
  <si>
    <t>M3103124</t>
  </si>
  <si>
    <t>Securederm 부직포 10*11(5.8*7)-50</t>
  </si>
  <si>
    <t>SNWD1011</t>
  </si>
  <si>
    <t>M3104124</t>
  </si>
  <si>
    <t>Securederm 부직포 10*16(5.9*12)-50s</t>
  </si>
  <si>
    <t>SNWD1016</t>
  </si>
  <si>
    <t>M3105124</t>
  </si>
  <si>
    <t>Securederm 부직포 9*25cm(5*20cm)</t>
  </si>
  <si>
    <t>B2011053</t>
  </si>
  <si>
    <t>QUILL PDO(2-0 1/2 26mm 15cm 12s</t>
  </si>
  <si>
    <t>VLP-2021</t>
  </si>
  <si>
    <t>SURGICAL SPECIALTIES CORPORATION</t>
  </si>
  <si>
    <t>M2055039</t>
  </si>
  <si>
    <t>L ALEXIS WND PROT/RET 5/BX</t>
  </si>
  <si>
    <t>C8303</t>
  </si>
  <si>
    <t>APPLIED MEDICAL RESOURCES CORPORATION</t>
  </si>
  <si>
    <t>수술실/영상의학실</t>
    <phoneticPr fontId="4" type="noConversion"/>
  </si>
  <si>
    <t>J4216063</t>
  </si>
  <si>
    <t>FINOFLO PICC DL</t>
  </si>
  <si>
    <t>(주)메디아나</t>
  </si>
  <si>
    <t>개</t>
    <phoneticPr fontId="4" type="noConversion"/>
  </si>
  <si>
    <t>J4215063</t>
  </si>
  <si>
    <t>FINOFLO PICC SL</t>
  </si>
  <si>
    <t>J4217063</t>
  </si>
  <si>
    <t>FINOFLO PICC TL</t>
    <phoneticPr fontId="4" type="noConversion"/>
  </si>
  <si>
    <t>개</t>
    <phoneticPr fontId="4" type="noConversion"/>
  </si>
  <si>
    <t>D-Probe cover</t>
  </si>
  <si>
    <t>다요메디칼</t>
    <phoneticPr fontId="4" type="noConversion"/>
  </si>
  <si>
    <t>M2052024</t>
  </si>
  <si>
    <t xml:space="preserve">Dual Trocar </t>
  </si>
  <si>
    <t>ES05-1</t>
  </si>
  <si>
    <t>㈜유원메디텍</t>
  </si>
  <si>
    <t>M2052124</t>
  </si>
  <si>
    <t>10mm Trocar</t>
  </si>
  <si>
    <t>ES10</t>
  </si>
  <si>
    <t>Chemdye E.O internal indicator Type 5</t>
    <phoneticPr fontId="4" type="noConversion"/>
  </si>
  <si>
    <t>IT12</t>
  </si>
  <si>
    <t>TERRAGENE</t>
  </si>
  <si>
    <t>E.O gas internal indicator Type4(250개X2)</t>
  </si>
  <si>
    <t>CD16</t>
  </si>
  <si>
    <t>Steam internal indicator Type4(250개X2)</t>
  </si>
  <si>
    <t>CD29</t>
  </si>
  <si>
    <t>SteriScan Bowie Dick indicator (100개)</t>
  </si>
  <si>
    <t>DANA</t>
  </si>
  <si>
    <t>SteriScan Mini internal indicator Type 5 (500개)</t>
  </si>
  <si>
    <t>1100-S</t>
  </si>
  <si>
    <t>일회용 앞치마</t>
  </si>
  <si>
    <t>box(50p)</t>
  </si>
  <si>
    <t>KM 메디칼</t>
  </si>
  <si>
    <t>건강증진센터/내시경실</t>
    <phoneticPr fontId="4" type="noConversion"/>
  </si>
  <si>
    <t>CLO TEST</t>
  </si>
  <si>
    <t>50EA</t>
  </si>
  <si>
    <t>아산제약</t>
  </si>
  <si>
    <t>Endo-Flex Biopsy Forceps</t>
  </si>
  <si>
    <t>1.8mm~2.3mm</t>
    <phoneticPr fontId="4" type="noConversion"/>
  </si>
  <si>
    <t xml:space="preserve">Endo-Flex </t>
  </si>
  <si>
    <t>내시경실</t>
    <phoneticPr fontId="4" type="noConversion"/>
  </si>
  <si>
    <t>Upex Electrosurgical Snare</t>
  </si>
  <si>
    <t>RSO-2315</t>
  </si>
  <si>
    <t>Upex</t>
  </si>
  <si>
    <t>J2301955</t>
  </si>
  <si>
    <t>Upex Injection Needle</t>
  </si>
  <si>
    <t>IN2323-254</t>
  </si>
  <si>
    <t>일회용 토시(box/50p)</t>
  </si>
  <si>
    <t>수술실</t>
    <phoneticPr fontId="4" type="noConversion"/>
  </si>
  <si>
    <t>M2052282</t>
  </si>
  <si>
    <t>Tropian(T)</t>
  </si>
  <si>
    <t>제로엠</t>
  </si>
  <si>
    <t>M2130057</t>
  </si>
  <si>
    <t>MW ESU Pencils</t>
  </si>
  <si>
    <t>메드윈</t>
  </si>
  <si>
    <t>M2131057</t>
  </si>
  <si>
    <t>MW ESU Electrodes</t>
  </si>
  <si>
    <t>M2132157</t>
  </si>
  <si>
    <t>MW ESU LOOP Electrodes</t>
  </si>
  <si>
    <t>M2136057</t>
  </si>
  <si>
    <t>Disposable patient plate</t>
  </si>
  <si>
    <t>Core Fix W80</t>
  </si>
  <si>
    <t>W80</t>
  </si>
  <si>
    <t>골든바이오텍</t>
  </si>
  <si>
    <t>수술실/건강증진센터/내시경실</t>
    <phoneticPr fontId="4" type="noConversion"/>
  </si>
  <si>
    <t>Core Fix W40</t>
  </si>
  <si>
    <t>W40</t>
  </si>
  <si>
    <t>Chemdye Washer&amp;Ultrasonic Indicator</t>
  </si>
  <si>
    <t>CDWA4</t>
  </si>
  <si>
    <t>Terragene</t>
  </si>
  <si>
    <t>deconex 64 NEUTRADRY</t>
  </si>
  <si>
    <t>5L</t>
  </si>
  <si>
    <t>Borer</t>
  </si>
  <si>
    <t>deconex FOAM ACTIVE</t>
  </si>
  <si>
    <t>deconex PROZYME ACTIVE</t>
  </si>
  <si>
    <t xml:space="preserve">deconex 34GR </t>
  </si>
  <si>
    <t>deconex PROZYME ALKA</t>
  </si>
  <si>
    <t>K4021002</t>
  </si>
  <si>
    <t>Endotracheal Tube2.0</t>
    <phoneticPr fontId="4" type="noConversion"/>
  </si>
  <si>
    <t>ID2.0-4.5</t>
  </si>
  <si>
    <t>에어웨이</t>
  </si>
  <si>
    <t>Ace Medical</t>
  </si>
  <si>
    <t>M1019972</t>
  </si>
  <si>
    <t>I.V Filter Set</t>
  </si>
  <si>
    <t>JSM</t>
  </si>
  <si>
    <t>Stylet</t>
  </si>
  <si>
    <t>지엠</t>
  </si>
  <si>
    <t>Taper Guard</t>
  </si>
  <si>
    <t>ID5.0-8.0</t>
  </si>
  <si>
    <t>L9001010</t>
  </si>
  <si>
    <t>펄스옥시메타센서</t>
  </si>
  <si>
    <t>헤파린캪</t>
  </si>
  <si>
    <t>3-way Extension Tube</t>
  </si>
  <si>
    <t>K4501461</t>
    <phoneticPr fontId="4" type="noConversion"/>
  </si>
  <si>
    <t>Heated Circuit IV(히티드서킷 lll)</t>
    <phoneticPr fontId="4" type="noConversion"/>
  </si>
  <si>
    <t>M6740005</t>
  </si>
  <si>
    <t>Ace Lock Plus</t>
  </si>
  <si>
    <t>K4430035</t>
  </si>
  <si>
    <t>Ace Blade</t>
  </si>
  <si>
    <t>수술실</t>
    <phoneticPr fontId="4" type="noConversion"/>
  </si>
  <si>
    <t>J4308135</t>
  </si>
  <si>
    <t>AutoSelector K Bolus</t>
  </si>
  <si>
    <t>Breathing Circuit</t>
  </si>
  <si>
    <t>Dental Mask</t>
  </si>
  <si>
    <t>동남</t>
  </si>
  <si>
    <t>3-way</t>
  </si>
  <si>
    <t>B/Braun</t>
  </si>
  <si>
    <t>L9001002</t>
  </si>
  <si>
    <t>Oximax Oxygen Sensor</t>
  </si>
  <si>
    <t>Extension Tube(5m 제외)</t>
    <phoneticPr fontId="4" type="noConversion"/>
  </si>
  <si>
    <t>Epidural Needle</t>
  </si>
  <si>
    <t>20G</t>
  </si>
  <si>
    <t>Face Mask</t>
  </si>
  <si>
    <t>Mow</t>
  </si>
  <si>
    <t>M1006061</t>
  </si>
  <si>
    <t>Monofusion</t>
  </si>
  <si>
    <t>Spinocan</t>
  </si>
  <si>
    <t>K4041131</t>
  </si>
  <si>
    <t>Reinforced Tracheal Tube</t>
  </si>
  <si>
    <t>ID6.0.-8.5</t>
  </si>
  <si>
    <t>Covidien</t>
  </si>
  <si>
    <t>Nurse Cap</t>
  </si>
  <si>
    <t>BOX/100EA</t>
  </si>
  <si>
    <t>수술실</t>
    <phoneticPr fontId="4" type="noConversion"/>
  </si>
  <si>
    <t>Surgeon Cap</t>
  </si>
  <si>
    <t>K4800103</t>
  </si>
  <si>
    <t>I-gel</t>
  </si>
  <si>
    <t>#3,4,5</t>
  </si>
  <si>
    <t>Intersurgical</t>
  </si>
  <si>
    <t>수술실/순환기내과</t>
    <phoneticPr fontId="4" type="noConversion"/>
  </si>
  <si>
    <t>J4120135</t>
  </si>
  <si>
    <t>Auto transducer kit</t>
  </si>
  <si>
    <t>Surgical Mask</t>
  </si>
  <si>
    <t>BOX/50EA</t>
  </si>
  <si>
    <t>M1015061</t>
  </si>
  <si>
    <t>MV Extension tube</t>
  </si>
  <si>
    <t>Stimuplex Ultra</t>
  </si>
  <si>
    <t>K4800201</t>
  </si>
  <si>
    <t>Air-Qsp3G</t>
  </si>
  <si>
    <t>SUNMED</t>
  </si>
  <si>
    <t>M1102032</t>
  </si>
  <si>
    <t>Mini-Spike</t>
  </si>
  <si>
    <t>Oxygen Tubing</t>
  </si>
  <si>
    <t>2M</t>
  </si>
  <si>
    <t>Ningbo</t>
  </si>
  <si>
    <t>4.25M</t>
  </si>
  <si>
    <t>Extension Tube(5m)</t>
  </si>
  <si>
    <t>5m</t>
  </si>
  <si>
    <t>K4433114</t>
  </si>
  <si>
    <t>BritePro Solo</t>
  </si>
  <si>
    <t>Flexicare</t>
  </si>
  <si>
    <t>O2 Adaptor</t>
  </si>
  <si>
    <t>Foxxmed</t>
  </si>
  <si>
    <t>M6600093</t>
  </si>
  <si>
    <t>EZ COMFORT HOLDER</t>
  </si>
  <si>
    <t>SY Medical</t>
  </si>
  <si>
    <t>일회용 수동식 인공호흡기</t>
  </si>
  <si>
    <t>Hsiner</t>
  </si>
  <si>
    <t>BC1200SY</t>
  </si>
  <si>
    <t>EZ AIR MB</t>
  </si>
  <si>
    <t>사니사라 손소독제 1L</t>
    <phoneticPr fontId="4" type="noConversion"/>
  </si>
  <si>
    <t>1L /1박스(10개)</t>
  </si>
  <si>
    <t>사니사라 손소독제 500mL</t>
    <phoneticPr fontId="4" type="noConversion"/>
  </si>
  <si>
    <t>500mL /1박스(10개)</t>
    <phoneticPr fontId="4" type="noConversion"/>
  </si>
  <si>
    <t>엔지셉트플러스 와입스</t>
  </si>
  <si>
    <t>70매</t>
  </si>
  <si>
    <t>㈜에이치피엔씨</t>
  </si>
  <si>
    <t xml:space="preserve">사라야 손소독비누 샤보 BCG </t>
  </si>
  <si>
    <t>500ml /1박스(10개)</t>
  </si>
  <si>
    <t>스코테린</t>
  </si>
  <si>
    <t>휴온스메디케어</t>
  </si>
  <si>
    <t>건강증진센터/내시경실</t>
    <phoneticPr fontId="4" type="noConversion"/>
  </si>
  <si>
    <t>싸이데자임</t>
  </si>
  <si>
    <t>IBT과초산 테스트스트립</t>
  </si>
  <si>
    <t>100t/box</t>
  </si>
  <si>
    <t>애바가드외용액9200</t>
  </si>
  <si>
    <t>K7310627</t>
  </si>
  <si>
    <t>엠에스릴렉싱워크2</t>
  </si>
  <si>
    <t>전규격(편측)</t>
  </si>
  <si>
    <t>JIAXING MAX HOSIERY CO.,LTD.</t>
  </si>
  <si>
    <t>O2게이지</t>
    <phoneticPr fontId="4" type="noConversion"/>
  </si>
  <si>
    <t>300ml</t>
    <phoneticPr fontId="4" type="noConversion"/>
  </si>
  <si>
    <t>세인메디</t>
    <phoneticPr fontId="4" type="noConversion"/>
  </si>
  <si>
    <t>(뉴)팝부러쉬</t>
  </si>
  <si>
    <t>상아</t>
  </si>
  <si>
    <t>Eo Gas 멸균팩(10")</t>
  </si>
  <si>
    <t>25*100</t>
  </si>
  <si>
    <t>세운,SEMI산업,수성</t>
  </si>
  <si>
    <t>Eo Gas 멸균팩(12")</t>
  </si>
  <si>
    <t>30*100</t>
  </si>
  <si>
    <t>Eo Gas 멸균팩(16")</t>
  </si>
  <si>
    <t>40*100</t>
  </si>
  <si>
    <t>Eo Gas 멸균팩(2")</t>
  </si>
  <si>
    <t>5*100</t>
  </si>
  <si>
    <t>Eo Gas 멸균팩(3")</t>
  </si>
  <si>
    <t>7.5*100</t>
  </si>
  <si>
    <t>Eo Gas 멸균팩(4")</t>
  </si>
  <si>
    <t>10*100</t>
  </si>
  <si>
    <t>Eo Gas 멸균팩(6")</t>
  </si>
  <si>
    <t>15*100</t>
  </si>
  <si>
    <t>Eo Gas 멸균팩(8")</t>
  </si>
  <si>
    <t>20*100</t>
  </si>
  <si>
    <t>B3001027</t>
  </si>
  <si>
    <t>Skin Stapler</t>
  </si>
  <si>
    <t>Weck, 텔레플렉스</t>
    <phoneticPr fontId="4" type="noConversion"/>
  </si>
  <si>
    <t>Skin Stapler Remover</t>
  </si>
  <si>
    <t>Weck</t>
  </si>
  <si>
    <t>면도날(10개)</t>
  </si>
  <si>
    <t>도루코</t>
  </si>
  <si>
    <t>멸균장갑(병동용) (powder free)50조</t>
  </si>
  <si>
    <t>세운, 인성, 이페이커</t>
  </si>
  <si>
    <t>실리콘레빈튜브</t>
  </si>
  <si>
    <t>세운, 유신, 진우, 인성</t>
  </si>
  <si>
    <t>K4311110</t>
    <phoneticPr fontId="4" type="noConversion"/>
  </si>
  <si>
    <t>실리콘트라케스토미튜브</t>
  </si>
  <si>
    <t>유신, 세운, 협성</t>
  </si>
  <si>
    <t>K5001003</t>
    <phoneticPr fontId="4" type="noConversion"/>
  </si>
  <si>
    <t>실리콘포리카테타</t>
  </si>
  <si>
    <t>진우,세운,유신,인성,BD(투명한제품)</t>
  </si>
  <si>
    <t>안전핀</t>
  </si>
  <si>
    <t>L</t>
  </si>
  <si>
    <t>일자콘넥타</t>
  </si>
  <si>
    <t>7*7</t>
  </si>
  <si>
    <t>코드크램프</t>
  </si>
  <si>
    <t>세운, 태창</t>
    <phoneticPr fontId="4" type="noConversion"/>
  </si>
  <si>
    <t>비급여</t>
    <phoneticPr fontId="4" type="noConversion"/>
  </si>
  <si>
    <t>K5011003</t>
    <phoneticPr fontId="4" type="noConversion"/>
  </si>
  <si>
    <t>3way 실리콘포리카테타</t>
  </si>
  <si>
    <t>세운,유신,인성(투명한제품)</t>
  </si>
  <si>
    <t>Mucus Extractor</t>
  </si>
  <si>
    <t>세운</t>
    <phoneticPr fontId="4" type="noConversion"/>
  </si>
  <si>
    <t>H2605003</t>
    <phoneticPr fontId="4" type="noConversion"/>
  </si>
  <si>
    <t>EVD bag</t>
  </si>
  <si>
    <t>402-a</t>
  </si>
  <si>
    <t>SE-WOON, 유신, 협성</t>
  </si>
  <si>
    <t>H2602049</t>
    <phoneticPr fontId="4" type="noConversion"/>
  </si>
  <si>
    <t>EVD Catheter</t>
  </si>
  <si>
    <t>12Fr ~ 14Fr</t>
  </si>
  <si>
    <t>수술실</t>
    <phoneticPr fontId="4" type="noConversion"/>
  </si>
  <si>
    <t>L1001004</t>
    <phoneticPr fontId="4" type="noConversion"/>
  </si>
  <si>
    <t>T-tube</t>
  </si>
  <si>
    <t>SE-WOON,협성메디칼</t>
  </si>
  <si>
    <t>Dental mask(고무줄, 일반용)</t>
  </si>
  <si>
    <t>중국산</t>
  </si>
  <si>
    <t>멸균장갑 (파우더프리) 50조</t>
  </si>
  <si>
    <t>합계</t>
    <phoneticPr fontId="4" type="noConversion"/>
  </si>
  <si>
    <t>응급실,흉부</t>
    <phoneticPr fontId="4" type="noConversion"/>
  </si>
  <si>
    <t>K3007005</t>
  </si>
  <si>
    <t>Trocar catheter </t>
  </si>
  <si>
    <t>픽싱롤</t>
    <phoneticPr fontId="4" type="noConversion"/>
  </si>
  <si>
    <t>Q&amp;Q PHARM, 세운</t>
    <phoneticPr fontId="4" type="noConversion"/>
  </si>
  <si>
    <t>비급여코드</t>
    <phoneticPr fontId="4" type="noConversion"/>
  </si>
  <si>
    <t>군산</t>
    <phoneticPr fontId="4" type="noConversion"/>
  </si>
  <si>
    <t>Solventum</t>
    <phoneticPr fontId="4" type="noConversion"/>
  </si>
  <si>
    <t>Solventum</t>
    <phoneticPr fontId="4" type="noConversion"/>
  </si>
  <si>
    <t>공급실,수술실</t>
    <phoneticPr fontId="4" type="noConversion"/>
  </si>
  <si>
    <t xml:space="preserve"> J-Health</t>
    <phoneticPr fontId="4" type="noConversion"/>
  </si>
  <si>
    <t>J-Health</t>
    <phoneticPr fontId="4" type="noConversion"/>
  </si>
  <si>
    <t>공급실</t>
    <phoneticPr fontId="4" type="noConversion"/>
  </si>
  <si>
    <t>Solventum</t>
    <phoneticPr fontId="4" type="noConversion"/>
  </si>
  <si>
    <t>공급실</t>
    <phoneticPr fontId="4" type="noConversion"/>
  </si>
  <si>
    <t>수술실/공급실</t>
    <phoneticPr fontId="4" type="noConversion"/>
  </si>
  <si>
    <t>수술실/공급실</t>
    <phoneticPr fontId="4" type="noConversion"/>
  </si>
  <si>
    <t>SEP</t>
    <phoneticPr fontId="4" type="noConversion"/>
  </si>
  <si>
    <t>SEP</t>
    <phoneticPr fontId="4" type="noConversion"/>
  </si>
  <si>
    <t>공급실</t>
    <phoneticPr fontId="4" type="noConversion"/>
  </si>
  <si>
    <t>Solventum</t>
    <phoneticPr fontId="4" type="noConversion"/>
  </si>
  <si>
    <t>㈜에스이피</t>
    <phoneticPr fontId="4" type="noConversion"/>
  </si>
  <si>
    <t>㈜에스이피</t>
    <phoneticPr fontId="4" type="noConversion"/>
  </si>
  <si>
    <t>㈜포스메드</t>
    <phoneticPr fontId="4" type="noConversion"/>
  </si>
  <si>
    <t>나음케어</t>
    <phoneticPr fontId="4" type="noConversion"/>
  </si>
  <si>
    <t>메디웍스</t>
    <phoneticPr fontId="4" type="noConversion"/>
  </si>
  <si>
    <t>메디웍스</t>
    <phoneticPr fontId="4" type="noConversion"/>
  </si>
  <si>
    <t>에네스원</t>
    <phoneticPr fontId="4" type="noConversion"/>
  </si>
  <si>
    <t>대왕정공</t>
    <phoneticPr fontId="4" type="noConversion"/>
  </si>
  <si>
    <t>DJO</t>
    <phoneticPr fontId="4" type="noConversion"/>
  </si>
  <si>
    <t>㈜대한위재상사</t>
    <phoneticPr fontId="4" type="noConversion"/>
  </si>
  <si>
    <t xml:space="preserve">convatec </t>
    <phoneticPr fontId="4" type="noConversion"/>
  </si>
  <si>
    <t>BAP Medical</t>
    <phoneticPr fontId="4" type="noConversion"/>
  </si>
  <si>
    <t xml:space="preserve"> 비브라운코리아 </t>
    <phoneticPr fontId="4" type="noConversion"/>
  </si>
  <si>
    <t xml:space="preserve"> SURGI PLUS </t>
    <phoneticPr fontId="4" type="noConversion"/>
  </si>
  <si>
    <t>Mindray</t>
    <phoneticPr fontId="4" type="noConversion"/>
  </si>
  <si>
    <t>AESCULAP</t>
    <phoneticPr fontId="4" type="noConversion"/>
  </si>
  <si>
    <t xml:space="preserve"> 비제이 </t>
    <phoneticPr fontId="4" type="noConversion"/>
  </si>
  <si>
    <t xml:space="preserve"> 젬스코리아 </t>
    <phoneticPr fontId="4" type="noConversion"/>
  </si>
  <si>
    <t>M.D.L SRL</t>
    <phoneticPr fontId="4" type="noConversion"/>
  </si>
  <si>
    <t>세종메디칼</t>
    <phoneticPr fontId="4" type="noConversion"/>
  </si>
  <si>
    <t>Surgi-plus</t>
    <phoneticPr fontId="4" type="noConversion"/>
  </si>
  <si>
    <t xml:space="preserve"> 이레에스아이 </t>
    <phoneticPr fontId="4" type="noConversion"/>
  </si>
  <si>
    <t>SURGI PLUS</t>
    <phoneticPr fontId="4" type="noConversion"/>
  </si>
  <si>
    <t>정림</t>
    <phoneticPr fontId="4" type="noConversion"/>
  </si>
  <si>
    <t>POLYA</t>
    <phoneticPr fontId="4" type="noConversion"/>
  </si>
  <si>
    <t>킹파</t>
    <phoneticPr fontId="4" type="noConversion"/>
  </si>
  <si>
    <t>정림</t>
    <phoneticPr fontId="4" type="noConversion"/>
  </si>
  <si>
    <t>DOEUNMEDICS</t>
    <phoneticPr fontId="4" type="noConversion"/>
  </si>
  <si>
    <t>먼디파마</t>
    <phoneticPr fontId="4" type="noConversion"/>
  </si>
  <si>
    <t>먼디파마</t>
    <phoneticPr fontId="4" type="noConversion"/>
  </si>
  <si>
    <t>먼디파마</t>
    <phoneticPr fontId="4" type="noConversion"/>
  </si>
  <si>
    <t>MOLNLYCKE Health care</t>
    <phoneticPr fontId="4" type="noConversion"/>
  </si>
  <si>
    <t>MOLNLYCKE HEALTH CARE AB</t>
    <phoneticPr fontId="4" type="noConversion"/>
  </si>
  <si>
    <t>MOLNLYCKE Health care</t>
    <phoneticPr fontId="4" type="noConversion"/>
  </si>
  <si>
    <t>MOLNLYCKE Health care</t>
    <phoneticPr fontId="4" type="noConversion"/>
  </si>
  <si>
    <t>MOLNLYCKE HEALTH CARE AB</t>
    <phoneticPr fontId="4" type="noConversion"/>
  </si>
  <si>
    <t>MOLNLYCKE HEALTH CARE AB</t>
    <phoneticPr fontId="4" type="noConversion"/>
  </si>
  <si>
    <t>COVIDIEN</t>
    <phoneticPr fontId="4" type="noConversion"/>
  </si>
  <si>
    <t>T&amp;L</t>
    <phoneticPr fontId="4" type="noConversion"/>
  </si>
  <si>
    <t>T&amp;L</t>
    <phoneticPr fontId="4" type="noConversion"/>
  </si>
  <si>
    <t>T&amp;L</t>
    <phoneticPr fontId="4" type="noConversion"/>
  </si>
  <si>
    <t>킹파, 동아</t>
    <phoneticPr fontId="4" type="noConversion"/>
  </si>
  <si>
    <t>킹파, 동아</t>
    <phoneticPr fontId="4" type="noConversion"/>
  </si>
  <si>
    <t>넥스원바이오</t>
    <phoneticPr fontId="4" type="noConversion"/>
  </si>
  <si>
    <t>BL TECH</t>
    <phoneticPr fontId="4" type="noConversion"/>
  </si>
  <si>
    <t>BL TECH</t>
    <phoneticPr fontId="4" type="noConversion"/>
  </si>
  <si>
    <t>FLOYD</t>
    <phoneticPr fontId="4" type="noConversion"/>
  </si>
  <si>
    <t>FLOYD</t>
    <phoneticPr fontId="4" type="noConversion"/>
  </si>
  <si>
    <t>FLOYD</t>
    <phoneticPr fontId="4" type="noConversion"/>
  </si>
  <si>
    <t>FLOYD</t>
    <phoneticPr fontId="4" type="noConversion"/>
  </si>
  <si>
    <t>FLOYD</t>
    <phoneticPr fontId="4" type="noConversion"/>
  </si>
  <si>
    <t xml:space="preserve">Applied Medical </t>
    <phoneticPr fontId="4" type="noConversion"/>
  </si>
  <si>
    <t>GRENA</t>
    <phoneticPr fontId="4" type="noConversion"/>
  </si>
  <si>
    <t>비브라운코리아</t>
    <phoneticPr fontId="4" type="noConversion"/>
  </si>
  <si>
    <t>비브라운코리아</t>
    <phoneticPr fontId="4" type="noConversion"/>
  </si>
  <si>
    <t>비브라운코리아</t>
    <phoneticPr fontId="4" type="noConversion"/>
  </si>
  <si>
    <t>비브라운코리아</t>
    <phoneticPr fontId="4" type="noConversion"/>
  </si>
  <si>
    <t>CGBIO</t>
    <phoneticPr fontId="4" type="noConversion"/>
  </si>
  <si>
    <t>CGBIO</t>
    <phoneticPr fontId="4" type="noConversion"/>
  </si>
  <si>
    <t>CGBIO</t>
    <phoneticPr fontId="4" type="noConversion"/>
  </si>
  <si>
    <t>Metrix</t>
    <phoneticPr fontId="4" type="noConversion"/>
  </si>
  <si>
    <t>이레에스아이</t>
    <phoneticPr fontId="4" type="noConversion"/>
  </si>
  <si>
    <t xml:space="preserve">Applied Medical </t>
    <phoneticPr fontId="4" type="noConversion"/>
  </si>
  <si>
    <t>B/BRAUN</t>
    <phoneticPr fontId="4" type="noConversion"/>
  </si>
  <si>
    <t>B/BRAUN</t>
    <phoneticPr fontId="4" type="noConversion"/>
  </si>
  <si>
    <t>B/BRAUN</t>
    <phoneticPr fontId="4" type="noConversion"/>
  </si>
  <si>
    <t>B/BRAUN</t>
    <phoneticPr fontId="4" type="noConversion"/>
  </si>
  <si>
    <t>비브라운코리아</t>
    <phoneticPr fontId="4" type="noConversion"/>
  </si>
  <si>
    <t>LAKE REGION MEDICAL</t>
    <phoneticPr fontId="4" type="noConversion"/>
  </si>
  <si>
    <t>BOSTON SCIENTIFIC KOREA</t>
    <phoneticPr fontId="4" type="noConversion"/>
  </si>
  <si>
    <t>Medistar Compression Stocking</t>
    <phoneticPr fontId="4" type="noConversion"/>
  </si>
  <si>
    <t>CGBIO</t>
    <phoneticPr fontId="4" type="noConversion"/>
  </si>
  <si>
    <t>국산</t>
    <phoneticPr fontId="4" type="noConversion"/>
  </si>
  <si>
    <t>모노캠탐</t>
    <phoneticPr fontId="4" type="noConversion"/>
  </si>
  <si>
    <t>PROMED</t>
    <phoneticPr fontId="4" type="noConversion"/>
  </si>
  <si>
    <t>아이리,KAI</t>
    <phoneticPr fontId="4" type="noConversion"/>
  </si>
  <si>
    <t>CONMED</t>
    <phoneticPr fontId="4" type="noConversion"/>
  </si>
  <si>
    <t>존슨앤존슨</t>
    <phoneticPr fontId="4" type="noConversion"/>
  </si>
  <si>
    <t>Medigraph</t>
    <phoneticPr fontId="4" type="noConversion"/>
  </si>
  <si>
    <t>ETHICON</t>
    <phoneticPr fontId="4" type="noConversion"/>
  </si>
  <si>
    <t>ETHICON</t>
    <phoneticPr fontId="4" type="noConversion"/>
  </si>
  <si>
    <t>ETHICON</t>
    <phoneticPr fontId="4" type="noConversion"/>
  </si>
  <si>
    <t>ETHICON</t>
    <phoneticPr fontId="4" type="noConversion"/>
  </si>
  <si>
    <t>medtronic</t>
    <phoneticPr fontId="4" type="noConversion"/>
  </si>
  <si>
    <t>Ethicon</t>
    <phoneticPr fontId="4" type="noConversion"/>
  </si>
  <si>
    <t>Alcon</t>
    <phoneticPr fontId="4" type="noConversion"/>
  </si>
  <si>
    <t>Ethicon</t>
    <phoneticPr fontId="4" type="noConversion"/>
  </si>
  <si>
    <t>Ethicon</t>
    <phoneticPr fontId="4" type="noConversion"/>
  </si>
  <si>
    <t>솔고</t>
    <phoneticPr fontId="4" type="noConversion"/>
  </si>
  <si>
    <t>SOLCO, ㈜알파녹스</t>
    <phoneticPr fontId="4" type="noConversion"/>
  </si>
  <si>
    <t>태창산업</t>
    <phoneticPr fontId="4" type="noConversion"/>
  </si>
  <si>
    <t>Smith&amp;Nephew</t>
    <phoneticPr fontId="4" type="noConversion"/>
  </si>
  <si>
    <t>유신메디칼</t>
    <phoneticPr fontId="4" type="noConversion"/>
  </si>
  <si>
    <t>CONMED</t>
    <phoneticPr fontId="4" type="noConversion"/>
  </si>
  <si>
    <t>루틱스</t>
    <phoneticPr fontId="4" type="noConversion"/>
  </si>
  <si>
    <t>Ethicon</t>
    <phoneticPr fontId="4" type="noConversion"/>
  </si>
  <si>
    <t>everraid</t>
    <phoneticPr fontId="4" type="noConversion"/>
  </si>
  <si>
    <t>everraid</t>
    <phoneticPr fontId="4" type="noConversion"/>
  </si>
  <si>
    <t>아이리</t>
    <phoneticPr fontId="4" type="noConversion"/>
  </si>
  <si>
    <t>(주)카이로스</t>
    <phoneticPr fontId="4" type="noConversion"/>
  </si>
  <si>
    <t>zimmer</t>
    <phoneticPr fontId="4" type="noConversion"/>
  </si>
  <si>
    <t>펜타스코리아</t>
    <phoneticPr fontId="4" type="noConversion"/>
  </si>
  <si>
    <t>존슨앤존슨</t>
    <phoneticPr fontId="4" type="noConversion"/>
  </si>
  <si>
    <t>SOLCO</t>
    <phoneticPr fontId="4" type="noConversion"/>
  </si>
  <si>
    <t>국산</t>
    <phoneticPr fontId="4" type="noConversion"/>
  </si>
  <si>
    <t>유신</t>
    <phoneticPr fontId="4" type="noConversion"/>
  </si>
  <si>
    <t>테랑누사 SND</t>
    <phoneticPr fontId="4" type="noConversion"/>
  </si>
  <si>
    <t>소명메딕스</t>
    <phoneticPr fontId="4" type="noConversion"/>
  </si>
  <si>
    <t>MEDTRONIC</t>
    <phoneticPr fontId="4" type="noConversion"/>
  </si>
  <si>
    <t>BD</t>
    <phoneticPr fontId="4" type="noConversion"/>
  </si>
  <si>
    <t>BARD ACCESS SYSTEMS INC.</t>
    <phoneticPr fontId="4" type="noConversion"/>
  </si>
  <si>
    <t>Micro-Scientific</t>
    <phoneticPr fontId="4" type="noConversion"/>
  </si>
  <si>
    <t>Micro-Scientific, LLC</t>
    <phoneticPr fontId="4" type="noConversion"/>
  </si>
  <si>
    <t>medpro</t>
    <phoneticPr fontId="4" type="noConversion"/>
  </si>
  <si>
    <t>Cintape</t>
    <phoneticPr fontId="4" type="noConversion"/>
  </si>
  <si>
    <t>Nexgen</t>
    <phoneticPr fontId="4" type="noConversion"/>
  </si>
  <si>
    <t>Nexgen</t>
    <phoneticPr fontId="4" type="noConversion"/>
  </si>
  <si>
    <t>LOWTEM120</t>
    <phoneticPr fontId="4" type="noConversion"/>
  </si>
  <si>
    <t>LOWTEM120</t>
    <phoneticPr fontId="4" type="noConversion"/>
  </si>
  <si>
    <t>친우</t>
    <phoneticPr fontId="4" type="noConversion"/>
  </si>
  <si>
    <t>친우</t>
    <phoneticPr fontId="4" type="noConversion"/>
  </si>
  <si>
    <t>3M</t>
    <phoneticPr fontId="4" type="noConversion"/>
  </si>
  <si>
    <t>3M</t>
    <phoneticPr fontId="4" type="noConversion"/>
  </si>
  <si>
    <t>제이홀딩스</t>
    <phoneticPr fontId="4" type="noConversion"/>
  </si>
  <si>
    <t xml:space="preserve">sun med </t>
    <phoneticPr fontId="4" type="noConversion"/>
  </si>
  <si>
    <t>Belimed</t>
    <phoneticPr fontId="4" type="noConversion"/>
  </si>
  <si>
    <t>Clean &amp; science</t>
    <phoneticPr fontId="4" type="noConversion"/>
  </si>
  <si>
    <t>3M</t>
    <phoneticPr fontId="4" type="noConversion"/>
  </si>
  <si>
    <t>3M</t>
    <phoneticPr fontId="4" type="noConversion"/>
  </si>
  <si>
    <t>WINNOMED</t>
    <phoneticPr fontId="4" type="noConversion"/>
  </si>
  <si>
    <t>3M,RAPHA</t>
    <phoneticPr fontId="4" type="noConversion"/>
  </si>
  <si>
    <t>3M</t>
    <phoneticPr fontId="4" type="noConversion"/>
  </si>
  <si>
    <t>한국벡스팜제약</t>
    <phoneticPr fontId="4" type="noConversion"/>
  </si>
  <si>
    <t>오아이에스</t>
    <phoneticPr fontId="4" type="noConversion"/>
  </si>
  <si>
    <t>MEK-ICS</t>
    <phoneticPr fontId="4" type="noConversion"/>
  </si>
  <si>
    <t>㈜라파</t>
    <phoneticPr fontId="4" type="noConversion"/>
  </si>
  <si>
    <t>㈜라파</t>
    <phoneticPr fontId="4" type="noConversion"/>
  </si>
  <si>
    <t>㈜라파</t>
    <phoneticPr fontId="4" type="noConversion"/>
  </si>
  <si>
    <t>유한엠케이 주식회사</t>
    <phoneticPr fontId="4" type="noConversion"/>
  </si>
  <si>
    <t>3M,RAPHA</t>
    <phoneticPr fontId="4" type="noConversion"/>
  </si>
  <si>
    <t>3M,RAPHA</t>
    <phoneticPr fontId="4" type="noConversion"/>
  </si>
  <si>
    <t>3M, Manipula, ADVAN</t>
    <phoneticPr fontId="4" type="noConversion"/>
  </si>
  <si>
    <t>Terragene</t>
    <phoneticPr fontId="4" type="noConversion"/>
  </si>
  <si>
    <t>Terragene</t>
    <phoneticPr fontId="4" type="noConversion"/>
  </si>
  <si>
    <t xml:space="preserve"> 정림, 인성, 두원, 세운, 신창 </t>
    <phoneticPr fontId="4" type="noConversion"/>
  </si>
  <si>
    <t xml:space="preserve">  정림, 인성, 두원, 세운 </t>
    <phoneticPr fontId="4" type="noConversion"/>
  </si>
  <si>
    <t xml:space="preserve">  정림, 인성, 두원, 세운 </t>
    <phoneticPr fontId="4" type="noConversion"/>
  </si>
  <si>
    <t>정림, 성심, 두원, 신창</t>
    <phoneticPr fontId="4" type="noConversion"/>
  </si>
  <si>
    <t>정림, 신창, 성심, BD</t>
    <phoneticPr fontId="4" type="noConversion"/>
  </si>
  <si>
    <t>정림, 성심, 두원, 신창</t>
    <phoneticPr fontId="4" type="noConversion"/>
  </si>
  <si>
    <t>정림, 성심, 두원, 신창</t>
    <phoneticPr fontId="4" type="noConversion"/>
  </si>
  <si>
    <t>BD</t>
    <phoneticPr fontId="4" type="noConversion"/>
  </si>
  <si>
    <t>정림, Feel ject ,신창,SIR</t>
    <phoneticPr fontId="4" type="noConversion"/>
  </si>
  <si>
    <t>정림, 신창, 성심, BD, 필텍,씨피엘</t>
    <phoneticPr fontId="4" type="noConversion"/>
  </si>
  <si>
    <t>정림, 신창, 성심, BD, 필텍,씨피엘</t>
    <phoneticPr fontId="4" type="noConversion"/>
  </si>
  <si>
    <t>정림, 신창, 성심, BD, 필텍,씨피엘</t>
    <phoneticPr fontId="4" type="noConversion"/>
  </si>
  <si>
    <t>정림, Feel ject ,신창,SIR</t>
    <phoneticPr fontId="4" type="noConversion"/>
  </si>
  <si>
    <t>정림, Feel ject ,신창,SIR</t>
    <phoneticPr fontId="4" type="noConversion"/>
  </si>
  <si>
    <t>정림, Feel ject ,신창,SIR</t>
    <phoneticPr fontId="4" type="noConversion"/>
  </si>
  <si>
    <t>AKLA  AB</t>
    <phoneticPr fontId="4" type="noConversion"/>
  </si>
  <si>
    <t>AKLA  AB</t>
    <phoneticPr fontId="4" type="noConversion"/>
  </si>
  <si>
    <t>티앤엘</t>
    <phoneticPr fontId="4" type="noConversion"/>
  </si>
  <si>
    <t>티앤엘</t>
    <phoneticPr fontId="4" type="noConversion"/>
  </si>
  <si>
    <t>티앤엘</t>
    <phoneticPr fontId="4" type="noConversion"/>
  </si>
  <si>
    <t>티앤엘</t>
    <phoneticPr fontId="4" type="noConversion"/>
  </si>
  <si>
    <t>수앤수</t>
    <phoneticPr fontId="4" type="noConversion"/>
  </si>
  <si>
    <t>㈜티앤엘</t>
    <phoneticPr fontId="4" type="noConversion"/>
  </si>
  <si>
    <t>㈜티앤엘</t>
    <phoneticPr fontId="4" type="noConversion"/>
  </si>
  <si>
    <t>Arrow</t>
    <phoneticPr fontId="4" type="noConversion"/>
  </si>
  <si>
    <t>Arthrex</t>
    <phoneticPr fontId="4" type="noConversion"/>
  </si>
  <si>
    <t>COVIDIEN</t>
    <phoneticPr fontId="4" type="noConversion"/>
  </si>
  <si>
    <t>COVIDIEN</t>
    <phoneticPr fontId="4" type="noConversion"/>
  </si>
  <si>
    <t>COVIDIEN</t>
    <phoneticPr fontId="4" type="noConversion"/>
  </si>
  <si>
    <t>COVIDIEN</t>
    <phoneticPr fontId="4" type="noConversion"/>
  </si>
  <si>
    <t>COVIDIEN</t>
    <phoneticPr fontId="4" type="noConversion"/>
  </si>
  <si>
    <t>COVIDIEN</t>
    <phoneticPr fontId="4" type="noConversion"/>
  </si>
  <si>
    <t>아원</t>
    <phoneticPr fontId="4" type="noConversion"/>
  </si>
  <si>
    <t>Arrow</t>
    <phoneticPr fontId="4" type="noConversion"/>
  </si>
  <si>
    <t>SBD</t>
    <phoneticPr fontId="4" type="noConversion"/>
  </si>
  <si>
    <t xml:space="preserve"> SBD </t>
    <phoneticPr fontId="4" type="noConversion"/>
  </si>
  <si>
    <t>케어메이트,퍼팩트, 크린피아골드</t>
    <phoneticPr fontId="4" type="noConversion"/>
  </si>
  <si>
    <t>아원</t>
    <phoneticPr fontId="4" type="noConversion"/>
  </si>
  <si>
    <t>아원</t>
    <phoneticPr fontId="4" type="noConversion"/>
  </si>
  <si>
    <t>GE</t>
    <phoneticPr fontId="4" type="noConversion"/>
  </si>
  <si>
    <t>vyaine medical</t>
    <phoneticPr fontId="4" type="noConversion"/>
  </si>
  <si>
    <t>vyaine medical</t>
    <phoneticPr fontId="4" type="noConversion"/>
  </si>
  <si>
    <t>GE</t>
    <phoneticPr fontId="4" type="noConversion"/>
  </si>
  <si>
    <t>Hamilton Medical</t>
    <phoneticPr fontId="4" type="noConversion"/>
  </si>
  <si>
    <t>GE Healthcare</t>
    <phoneticPr fontId="4" type="noConversion"/>
  </si>
  <si>
    <t>GE Healthcare</t>
    <phoneticPr fontId="4" type="noConversion"/>
  </si>
  <si>
    <t>MAC 5500</t>
    <phoneticPr fontId="4" type="noConversion"/>
  </si>
  <si>
    <t>MAC 2000</t>
    <phoneticPr fontId="4" type="noConversion"/>
  </si>
  <si>
    <t>GE, F&amp;P</t>
    <phoneticPr fontId="4" type="noConversion"/>
  </si>
  <si>
    <t>Hamilton</t>
    <phoneticPr fontId="4" type="noConversion"/>
  </si>
  <si>
    <t>Hamilton</t>
    <phoneticPr fontId="4" type="noConversion"/>
  </si>
  <si>
    <t>Hamilton</t>
    <phoneticPr fontId="4" type="noConversion"/>
  </si>
  <si>
    <t>Nellcor</t>
    <phoneticPr fontId="4" type="noConversion"/>
  </si>
  <si>
    <t>제이엘</t>
    <phoneticPr fontId="4" type="noConversion"/>
  </si>
  <si>
    <t>동아,메디탑,두원,수성,태흥</t>
    <phoneticPr fontId="4" type="noConversion"/>
  </si>
  <si>
    <t>동아,메디탑,두원,수성</t>
    <phoneticPr fontId="4" type="noConversion"/>
  </si>
  <si>
    <t>동아,협성,두원,메디탑,한일</t>
    <phoneticPr fontId="4" type="noConversion"/>
  </si>
  <si>
    <t xml:space="preserve"> 성광제약, 동영, 메디탑</t>
    <phoneticPr fontId="4" type="noConversion"/>
  </si>
  <si>
    <t xml:space="preserve"> 성광제약, 동영, 메디탑</t>
    <phoneticPr fontId="4" type="noConversion"/>
  </si>
  <si>
    <t>수성, 태명, 킹파</t>
    <phoneticPr fontId="4" type="noConversion"/>
  </si>
  <si>
    <t xml:space="preserve">킹파, 동아, 수성, 두원 </t>
    <phoneticPr fontId="4" type="noConversion"/>
  </si>
  <si>
    <t>팜스,수성</t>
    <phoneticPr fontId="4" type="noConversion"/>
  </si>
  <si>
    <t>팜스,수성</t>
    <phoneticPr fontId="4" type="noConversion"/>
  </si>
  <si>
    <t>두원,풍성,한양,수성</t>
    <phoneticPr fontId="4" type="noConversion"/>
  </si>
  <si>
    <t>두원,풍성,한양,수성</t>
    <phoneticPr fontId="4" type="noConversion"/>
  </si>
  <si>
    <t>국제,동아,수성,메디탑,두원</t>
    <phoneticPr fontId="4" type="noConversion"/>
  </si>
  <si>
    <t xml:space="preserve"> 영메디칼, MP medical.KBM,부일,유키반</t>
    <phoneticPr fontId="4" type="noConversion"/>
  </si>
  <si>
    <t xml:space="preserve"> 영메디칼, MP medical.KBM,부일,유키반</t>
    <phoneticPr fontId="4" type="noConversion"/>
  </si>
  <si>
    <t xml:space="preserve">킹파, 동아, 수성, 두원 </t>
    <phoneticPr fontId="4" type="noConversion"/>
  </si>
  <si>
    <t>광명사, 유성산업</t>
    <phoneticPr fontId="4" type="noConversion"/>
  </si>
  <si>
    <t>킴스,안지,태명,호성,동아,대성,수성, 동남의료</t>
    <phoneticPr fontId="4" type="noConversion"/>
  </si>
  <si>
    <t>킴스,안지,태명,호성,동아,대성,수성, 동남의료</t>
    <phoneticPr fontId="4" type="noConversion"/>
  </si>
  <si>
    <t>킹파,지심,태명,호성,동아,동남</t>
    <phoneticPr fontId="4" type="noConversion"/>
  </si>
  <si>
    <t>킹파,지심,태명,호성,동아,동남</t>
    <phoneticPr fontId="4" type="noConversion"/>
  </si>
  <si>
    <t>킹파,지심,태명,호성,동아,동남</t>
    <phoneticPr fontId="4" type="noConversion"/>
  </si>
  <si>
    <t>태명,킹파,동아,태흥,수성</t>
    <phoneticPr fontId="4" type="noConversion"/>
  </si>
  <si>
    <t>태명,킹파,동아,태흥,수성</t>
    <phoneticPr fontId="4" type="noConversion"/>
  </si>
  <si>
    <t>태명,호성,성십자,동아,대성,수성</t>
    <phoneticPr fontId="4" type="noConversion"/>
  </si>
  <si>
    <t>태명,호성,성십자,동아,대성,수성</t>
    <phoneticPr fontId="4" type="noConversion"/>
  </si>
  <si>
    <t>동아,태명,호성,킹파,태흥,수성,두원,메딕</t>
    <phoneticPr fontId="4" type="noConversion"/>
  </si>
  <si>
    <t xml:space="preserve">킹파, 동아, 수성, 두원 </t>
    <phoneticPr fontId="4" type="noConversion"/>
  </si>
  <si>
    <t>그린</t>
    <phoneticPr fontId="4" type="noConversion"/>
  </si>
  <si>
    <t>그린J&amp;J, 퍼슨</t>
    <phoneticPr fontId="4" type="noConversion"/>
  </si>
  <si>
    <t xml:space="preserve"> UWHM Sdn ,메디트리파운더스</t>
    <phoneticPr fontId="4" type="noConversion"/>
  </si>
  <si>
    <t xml:space="preserve"> 그린 </t>
    <phoneticPr fontId="4" type="noConversion"/>
  </si>
  <si>
    <t xml:space="preserve"> 동아산업사 </t>
    <phoneticPr fontId="4" type="noConversion"/>
  </si>
  <si>
    <t xml:space="preserve"> 동아산업사 </t>
    <phoneticPr fontId="4" type="noConversion"/>
  </si>
  <si>
    <t>모아랩</t>
    <phoneticPr fontId="4" type="noConversion"/>
  </si>
  <si>
    <t>경기의료공업</t>
    <phoneticPr fontId="4" type="noConversion"/>
  </si>
  <si>
    <t>세운,덕우,HMS,BB,BD,정림,필텍</t>
    <phoneticPr fontId="4" type="noConversion"/>
  </si>
  <si>
    <t>올림푸스</t>
    <phoneticPr fontId="4" type="noConversion"/>
  </si>
  <si>
    <t>올림푸스</t>
    <phoneticPr fontId="4" type="noConversion"/>
  </si>
  <si>
    <t>올림푸스/Upex</t>
    <phoneticPr fontId="4" type="noConversion"/>
  </si>
  <si>
    <t>올림푸스</t>
    <phoneticPr fontId="4" type="noConversion"/>
  </si>
  <si>
    <t>BIO PROTECH YA</t>
    <phoneticPr fontId="4" type="noConversion"/>
  </si>
  <si>
    <t>필텍바이오, BD, 화진</t>
    <phoneticPr fontId="4" type="noConversion"/>
  </si>
  <si>
    <t>케어팜,동남</t>
    <phoneticPr fontId="4" type="noConversion"/>
  </si>
  <si>
    <t>케어팜, 한신제약</t>
    <phoneticPr fontId="4" type="noConversion"/>
  </si>
  <si>
    <t>UWHM Sdn,Bhd</t>
    <phoneticPr fontId="4" type="noConversion"/>
  </si>
  <si>
    <t>아이리(NB125)</t>
    <phoneticPr fontId="4" type="noConversion"/>
  </si>
  <si>
    <t>아이리(NB224P)</t>
    <phoneticPr fontId="4" type="noConversion"/>
  </si>
  <si>
    <t>아이리(NB324P)</t>
    <phoneticPr fontId="4" type="noConversion"/>
  </si>
  <si>
    <t>아이리(NB434P)</t>
    <phoneticPr fontId="4" type="noConversion"/>
  </si>
  <si>
    <t>아이리(NB526P)</t>
    <phoneticPr fontId="4" type="noConversion"/>
  </si>
  <si>
    <t>아이리(NB617P)</t>
    <phoneticPr fontId="4" type="noConversion"/>
  </si>
  <si>
    <t>아이리(NB717P)</t>
    <phoneticPr fontId="4" type="noConversion"/>
  </si>
  <si>
    <t>아이리</t>
    <phoneticPr fontId="4" type="noConversion"/>
  </si>
  <si>
    <t>아이리(SK312)</t>
    <phoneticPr fontId="4" type="noConversion"/>
  </si>
  <si>
    <t>아이리(SK426)</t>
    <phoneticPr fontId="4" type="noConversion"/>
  </si>
  <si>
    <t>아이리(SK521)</t>
    <phoneticPr fontId="4" type="noConversion"/>
  </si>
  <si>
    <t>아이리(SK617)</t>
    <phoneticPr fontId="4" type="noConversion"/>
  </si>
  <si>
    <t>아이리</t>
    <phoneticPr fontId="4" type="noConversion"/>
  </si>
  <si>
    <t xml:space="preserve">세운, 협성 </t>
    <phoneticPr fontId="4" type="noConversion"/>
  </si>
  <si>
    <t xml:space="preserve">세운, 협성 </t>
    <phoneticPr fontId="4" type="noConversion"/>
  </si>
  <si>
    <t xml:space="preserve">세운, 협성 </t>
    <phoneticPr fontId="4" type="noConversion"/>
  </si>
  <si>
    <t>유한킴벌리</t>
    <phoneticPr fontId="4" type="noConversion"/>
  </si>
  <si>
    <t>세운</t>
    <phoneticPr fontId="4" type="noConversion"/>
  </si>
  <si>
    <t>Olympus</t>
    <phoneticPr fontId="4" type="noConversion"/>
  </si>
  <si>
    <t>Olympus</t>
    <phoneticPr fontId="4" type="noConversion"/>
  </si>
  <si>
    <t>㈜써지코어</t>
    <phoneticPr fontId="4" type="noConversion"/>
  </si>
  <si>
    <t>이레에스아이㈜</t>
    <phoneticPr fontId="4" type="noConversion"/>
  </si>
  <si>
    <t>(주)세종메디칼</t>
    <phoneticPr fontId="4" type="noConversion"/>
  </si>
  <si>
    <t>Olympus</t>
    <phoneticPr fontId="4" type="noConversion"/>
  </si>
  <si>
    <t>Olympus 한국㈜</t>
    <phoneticPr fontId="4" type="noConversion"/>
  </si>
  <si>
    <t>covidien</t>
    <phoneticPr fontId="4" type="noConversion"/>
  </si>
  <si>
    <t>ERBE</t>
    <phoneticPr fontId="4" type="noConversion"/>
  </si>
  <si>
    <t>세운, 메디포스, 킴스</t>
    <phoneticPr fontId="4" type="noConversion"/>
  </si>
  <si>
    <t>수성</t>
    <phoneticPr fontId="4" type="noConversion"/>
  </si>
  <si>
    <t>국산</t>
    <phoneticPr fontId="4" type="noConversion"/>
  </si>
  <si>
    <t>동화판다,협성</t>
    <phoneticPr fontId="4" type="noConversion"/>
  </si>
  <si>
    <t>두원,HMS</t>
    <phoneticPr fontId="4" type="noConversion"/>
  </si>
  <si>
    <t>KM medical</t>
    <phoneticPr fontId="4" type="noConversion"/>
  </si>
  <si>
    <t>경인 제신 07-130호</t>
    <phoneticPr fontId="4" type="noConversion"/>
  </si>
  <si>
    <t>SONY</t>
    <phoneticPr fontId="4" type="noConversion"/>
  </si>
  <si>
    <t>유민상사,국산</t>
    <phoneticPr fontId="4" type="noConversion"/>
  </si>
  <si>
    <t>gatemed</t>
    <phoneticPr fontId="4" type="noConversion"/>
  </si>
  <si>
    <t xml:space="preserve"> 밴드랜드</t>
    <phoneticPr fontId="4" type="noConversion"/>
  </si>
  <si>
    <t>밴드닥터,영케미칼</t>
    <phoneticPr fontId="4" type="noConversion"/>
  </si>
  <si>
    <t>두원,씨피엘,성심,BD</t>
    <phoneticPr fontId="4" type="noConversion"/>
  </si>
  <si>
    <t>신신</t>
    <phoneticPr fontId="4" type="noConversion"/>
  </si>
  <si>
    <t>국산품,건강누리</t>
    <phoneticPr fontId="4" type="noConversion"/>
  </si>
  <si>
    <t>세운</t>
    <phoneticPr fontId="4" type="noConversion"/>
  </si>
  <si>
    <t>국산품, 구일</t>
    <phoneticPr fontId="4" type="noConversion"/>
  </si>
  <si>
    <t>국산품</t>
    <phoneticPr fontId="4" type="noConversion"/>
  </si>
  <si>
    <t>문정, 수성</t>
    <phoneticPr fontId="4" type="noConversion"/>
  </si>
  <si>
    <t>두원</t>
    <phoneticPr fontId="4" type="noConversion"/>
  </si>
  <si>
    <t>(군산) 수성 / (남원)국산품</t>
    <phoneticPr fontId="4" type="noConversion"/>
  </si>
  <si>
    <t>세운,에이스,인성</t>
    <phoneticPr fontId="4" type="noConversion"/>
  </si>
  <si>
    <t>협성, 동화</t>
    <phoneticPr fontId="4" type="noConversion"/>
  </si>
  <si>
    <t>세운, 카멜, 협성</t>
    <phoneticPr fontId="4" type="noConversion"/>
  </si>
  <si>
    <t>세운, 협성</t>
    <phoneticPr fontId="4" type="noConversion"/>
  </si>
  <si>
    <t>세운.한국엠시디, 협성, 메디탑</t>
    <phoneticPr fontId="4" type="noConversion"/>
  </si>
  <si>
    <t>세운, TELEFLEX, 협성</t>
    <phoneticPr fontId="4" type="noConversion"/>
  </si>
  <si>
    <t>인성,강애니,세운,협성,KM헬스케어</t>
    <phoneticPr fontId="4" type="noConversion"/>
  </si>
  <si>
    <t>인성,강애니,세운,협성,KM헬스케어</t>
    <phoneticPr fontId="4" type="noConversion"/>
  </si>
  <si>
    <t>에이스,협성,세운,BD</t>
    <phoneticPr fontId="4" type="noConversion"/>
  </si>
  <si>
    <t>인성,세운</t>
    <phoneticPr fontId="4" type="noConversion"/>
  </si>
  <si>
    <t>세운,유신,인성,sun good</t>
    <phoneticPr fontId="4" type="noConversion"/>
  </si>
  <si>
    <t>세운, 협성 ,동화판다</t>
    <phoneticPr fontId="4" type="noConversion"/>
  </si>
  <si>
    <t>세운, 협성 ,동화판다</t>
    <phoneticPr fontId="4" type="noConversion"/>
  </si>
  <si>
    <t>인성, 협성, 세운, 신창</t>
    <phoneticPr fontId="4" type="noConversion"/>
  </si>
  <si>
    <t>인성</t>
    <phoneticPr fontId="4" type="noConversion"/>
  </si>
  <si>
    <t>허드슨,대만</t>
    <phoneticPr fontId="4" type="noConversion"/>
  </si>
  <si>
    <t>TELEFLEX, 대석메드, 메드라인코리아</t>
    <phoneticPr fontId="4" type="noConversion"/>
  </si>
  <si>
    <t>BD, 협성, 인성</t>
    <phoneticPr fontId="4" type="noConversion"/>
  </si>
  <si>
    <t>Mahe,solco,탑메디칼컴퍼니</t>
    <phoneticPr fontId="4" type="noConversion"/>
  </si>
  <si>
    <t>허드슨. 대만</t>
    <phoneticPr fontId="4" type="noConversion"/>
  </si>
  <si>
    <t>협성메디칼</t>
    <phoneticPr fontId="4" type="noConversion"/>
  </si>
  <si>
    <t>유신,세운,BD,인성</t>
    <phoneticPr fontId="4" type="noConversion"/>
  </si>
  <si>
    <t>인성, 유신메디칼</t>
    <phoneticPr fontId="4" type="noConversion"/>
  </si>
  <si>
    <t>Mahe,solco,탑메디칼컴퍼니</t>
    <phoneticPr fontId="4" type="noConversion"/>
  </si>
  <si>
    <t>쉐리단, 허드슨,COVIDIEN</t>
    <phoneticPr fontId="4" type="noConversion"/>
  </si>
  <si>
    <t>허드슨, 대만</t>
    <phoneticPr fontId="4" type="noConversion"/>
  </si>
  <si>
    <t>협성</t>
    <phoneticPr fontId="4" type="noConversion"/>
  </si>
  <si>
    <t>한양, 두원, 수성</t>
    <phoneticPr fontId="4" type="noConversion"/>
  </si>
  <si>
    <t>㈜이엠텍</t>
    <phoneticPr fontId="4" type="noConversion"/>
  </si>
  <si>
    <t>wolf</t>
    <phoneticPr fontId="4" type="noConversion"/>
  </si>
  <si>
    <t>wolf</t>
    <phoneticPr fontId="4" type="noConversion"/>
  </si>
  <si>
    <t>㈜닥터서플라이</t>
    <phoneticPr fontId="4" type="noConversion"/>
  </si>
  <si>
    <t xml:space="preserve">성원메디칼 </t>
    <phoneticPr fontId="4" type="noConversion"/>
  </si>
  <si>
    <t>한국엠씨디㈜,메디탑</t>
    <phoneticPr fontId="4" type="noConversion"/>
  </si>
  <si>
    <t>휴레브</t>
    <phoneticPr fontId="4" type="noConversion"/>
  </si>
  <si>
    <t>대석메드㈜</t>
    <phoneticPr fontId="4" type="noConversion"/>
  </si>
  <si>
    <t>대석메드㈜</t>
    <phoneticPr fontId="4" type="noConversion"/>
  </si>
  <si>
    <t>태명헬스케어</t>
    <phoneticPr fontId="4" type="noConversion"/>
  </si>
  <si>
    <t>공급실</t>
    <phoneticPr fontId="4" type="noConversion"/>
  </si>
  <si>
    <t>세운,협성</t>
    <phoneticPr fontId="4" type="noConversion"/>
  </si>
  <si>
    <t>세종</t>
    <phoneticPr fontId="4" type="noConversion"/>
  </si>
  <si>
    <t>수술실</t>
    <phoneticPr fontId="4" type="noConversion"/>
  </si>
  <si>
    <t>Japan</t>
    <phoneticPr fontId="4" type="noConversion"/>
  </si>
  <si>
    <t>태창산업</t>
    <phoneticPr fontId="4" type="noConversion"/>
  </si>
  <si>
    <t>수술실</t>
    <phoneticPr fontId="4" type="noConversion"/>
  </si>
  <si>
    <t>dosal international</t>
    <phoneticPr fontId="4" type="noConversion"/>
  </si>
  <si>
    <t>수술실</t>
    <phoneticPr fontId="4" type="noConversion"/>
  </si>
  <si>
    <t>세운메디칼</t>
    <phoneticPr fontId="4" type="noConversion"/>
  </si>
  <si>
    <t>SkinTact,3M,켄달,LUDLOW,HUREV</t>
    <phoneticPr fontId="4" type="noConversion"/>
  </si>
  <si>
    <t>Sony</t>
    <phoneticPr fontId="4" type="noConversion"/>
  </si>
  <si>
    <t>Sony</t>
    <phoneticPr fontId="4" type="noConversion"/>
  </si>
  <si>
    <t>한국라텍스</t>
    <phoneticPr fontId="4" type="noConversion"/>
  </si>
  <si>
    <t>Hudson</t>
    <phoneticPr fontId="4" type="noConversion"/>
  </si>
  <si>
    <t>TELEFLEX,Galmed,신정</t>
    <phoneticPr fontId="4" type="noConversion"/>
  </si>
  <si>
    <t>두원,세운,BD,HMS,지메디,정림</t>
    <phoneticPr fontId="4" type="noConversion"/>
  </si>
  <si>
    <t>성우양행</t>
    <phoneticPr fontId="4" type="noConversion"/>
  </si>
  <si>
    <t>아이리</t>
    <phoneticPr fontId="4" type="noConversion"/>
  </si>
  <si>
    <t>N0101512</t>
    <phoneticPr fontId="4" type="noConversion"/>
  </si>
  <si>
    <t>N0101912</t>
    <phoneticPr fontId="4" type="noConversion"/>
  </si>
  <si>
    <t>N0101612</t>
    <phoneticPr fontId="4" type="noConversion"/>
  </si>
  <si>
    <t>M3030767</t>
    <phoneticPr fontId="4" type="noConversion"/>
  </si>
  <si>
    <t>M3030778</t>
    <phoneticPr fontId="4" type="noConversion"/>
  </si>
  <si>
    <t>N0101712</t>
    <phoneticPr fontId="4" type="noConversion"/>
  </si>
  <si>
    <t>C/S Pack
TUR Pack
GS LAPA PACK2</t>
    <phoneticPr fontId="4" type="noConversion"/>
  </si>
  <si>
    <t>C-Line pack Ⅱ / (CVC-013)
C-Line pack Ⅰ / (CVC-014)</t>
    <phoneticPr fontId="4" type="noConversion"/>
  </si>
  <si>
    <t>GS LAPA PACK
A/S Knee Pack
N/D PACK(분만팩)</t>
    <phoneticPr fontId="4" type="noConversion"/>
  </si>
  <si>
    <t>GS-127-S-1
OS-058-2-S
OBGYN-5-001</t>
    <phoneticPr fontId="4" type="noConversion"/>
  </si>
  <si>
    <t>OBGYN-044-S
UR-5-0002
GS-127-S</t>
    <phoneticPr fontId="4" type="noConversion"/>
  </si>
  <si>
    <t>CVC-013
CVC-014-S</t>
    <phoneticPr fontId="4" type="noConversion"/>
  </si>
  <si>
    <t>수술실</t>
    <phoneticPr fontId="4" type="noConversion"/>
  </si>
  <si>
    <t>성형외과</t>
    <phoneticPr fontId="4" type="noConversion"/>
  </si>
  <si>
    <t>성형외과</t>
    <phoneticPr fontId="4" type="noConversion"/>
  </si>
  <si>
    <t>성형외과</t>
    <phoneticPr fontId="4" type="noConversion"/>
  </si>
  <si>
    <t>성형외과</t>
    <phoneticPr fontId="4" type="noConversion"/>
  </si>
  <si>
    <t>공급실</t>
    <phoneticPr fontId="4" type="noConversion"/>
  </si>
  <si>
    <t>공급실</t>
    <phoneticPr fontId="4" type="noConversion"/>
  </si>
  <si>
    <t>공급실</t>
    <phoneticPr fontId="4" type="noConversion"/>
  </si>
  <si>
    <t>공급실</t>
    <phoneticPr fontId="4" type="noConversion"/>
  </si>
  <si>
    <t>약제팀</t>
    <phoneticPr fontId="4" type="noConversion"/>
  </si>
  <si>
    <t>약제팀</t>
    <phoneticPr fontId="4" type="noConversion"/>
  </si>
  <si>
    <t>수술실</t>
    <phoneticPr fontId="4" type="noConversion"/>
  </si>
  <si>
    <t>공급실</t>
    <phoneticPr fontId="4" type="noConversion"/>
  </si>
  <si>
    <t>SV211G
SV213G
SV21NG</t>
    <phoneticPr fontId="4" type="noConversion"/>
  </si>
  <si>
    <t>SV317G
SV318G</t>
    <phoneticPr fontId="4" type="noConversion"/>
  </si>
  <si>
    <t>(군산) Nature Moldable Stomahesive
(남원) 콜로스토미플랜지</t>
    <phoneticPr fontId="4" type="noConversion"/>
  </si>
  <si>
    <t>M1019025</t>
    <phoneticPr fontId="4" type="noConversion"/>
  </si>
  <si>
    <t>S-PORT(DC)
S-PORT(Filter)</t>
    <phoneticPr fontId="4" type="noConversion"/>
  </si>
  <si>
    <t>LAP-IX Spatula Trumpet Type(일체형)</t>
    <phoneticPr fontId="4" type="noConversion"/>
  </si>
  <si>
    <t>M2043208</t>
    <phoneticPr fontId="4" type="noConversion"/>
  </si>
  <si>
    <t>657400160</t>
    <phoneticPr fontId="4" type="noConversion"/>
  </si>
  <si>
    <t>642101400</t>
    <phoneticPr fontId="4" type="noConversion"/>
  </si>
  <si>
    <t>680400251</t>
    <phoneticPr fontId="4" type="noConversion"/>
  </si>
  <si>
    <t>657400120</t>
    <phoneticPr fontId="4" type="noConversion"/>
  </si>
  <si>
    <t>648301120</t>
    <phoneticPr fontId="4" type="noConversion"/>
  </si>
  <si>
    <t>648300220</t>
    <phoneticPr fontId="4" type="noConversion"/>
  </si>
  <si>
    <t>681000125</t>
    <phoneticPr fontId="4" type="noConversion"/>
  </si>
  <si>
    <t>658900240</t>
    <phoneticPr fontId="4" type="noConversion"/>
  </si>
  <si>
    <t>646601401</t>
    <phoneticPr fontId="4" type="noConversion"/>
  </si>
  <si>
    <t>681000450</t>
    <phoneticPr fontId="4" type="noConversion"/>
  </si>
  <si>
    <t>비급여</t>
    <phoneticPr fontId="4" type="noConversion"/>
  </si>
  <si>
    <t>Green HeparinSyringe(안전캡)-100s</t>
    <phoneticPr fontId="4" type="noConversion"/>
  </si>
  <si>
    <t>50개입</t>
    <phoneticPr fontId="4" type="noConversion"/>
  </si>
  <si>
    <t>20개입</t>
    <phoneticPr fontId="4" type="noConversion"/>
  </si>
  <si>
    <t>10개입</t>
    <phoneticPr fontId="4" type="noConversion"/>
  </si>
  <si>
    <t>20개입</t>
    <phoneticPr fontId="4" type="noConversion"/>
  </si>
  <si>
    <t>20개입</t>
    <phoneticPr fontId="4" type="noConversion"/>
  </si>
  <si>
    <t>20개입</t>
    <phoneticPr fontId="4" type="noConversion"/>
  </si>
  <si>
    <t>40개입</t>
    <phoneticPr fontId="4" type="noConversion"/>
  </si>
  <si>
    <t>40개입</t>
    <phoneticPr fontId="4" type="noConversion"/>
  </si>
  <si>
    <t>10개입</t>
    <phoneticPr fontId="4" type="noConversion"/>
  </si>
  <si>
    <t>10개입</t>
    <phoneticPr fontId="4" type="noConversion"/>
  </si>
  <si>
    <t>100개입</t>
    <phoneticPr fontId="4" type="noConversion"/>
  </si>
  <si>
    <t>50개입</t>
    <phoneticPr fontId="4" type="noConversion"/>
  </si>
  <si>
    <t>200개입</t>
    <phoneticPr fontId="4" type="noConversion"/>
  </si>
  <si>
    <t>200매</t>
    <phoneticPr fontId="4" type="noConversion"/>
  </si>
  <si>
    <t>100매</t>
    <phoneticPr fontId="4" type="noConversion"/>
  </si>
  <si>
    <t>150매</t>
    <phoneticPr fontId="4" type="noConversion"/>
  </si>
  <si>
    <t>300매</t>
    <phoneticPr fontId="4" type="noConversion"/>
  </si>
  <si>
    <t>12개입</t>
    <phoneticPr fontId="4" type="noConversion"/>
  </si>
  <si>
    <t>12개입</t>
    <phoneticPr fontId="4" type="noConversion"/>
  </si>
  <si>
    <t>100매</t>
    <phoneticPr fontId="4" type="noConversion"/>
  </si>
  <si>
    <t>상한가: 3,670*16.1시간</t>
    <phoneticPr fontId="4" type="noConversion"/>
  </si>
  <si>
    <t>30개입</t>
    <phoneticPr fontId="4" type="noConversion"/>
  </si>
  <si>
    <t>3개입</t>
    <phoneticPr fontId="4" type="noConversion"/>
  </si>
  <si>
    <t>100개입</t>
    <phoneticPr fontId="4" type="noConversion"/>
  </si>
  <si>
    <t>6개입</t>
    <phoneticPr fontId="4" type="noConversion"/>
  </si>
  <si>
    <t>36개입</t>
    <phoneticPr fontId="4" type="noConversion"/>
  </si>
  <si>
    <t>12개입</t>
    <phoneticPr fontId="4" type="noConversion"/>
  </si>
  <si>
    <t>10개입</t>
    <phoneticPr fontId="4" type="noConversion"/>
  </si>
  <si>
    <t>36개입</t>
    <phoneticPr fontId="4" type="noConversion"/>
  </si>
  <si>
    <t>240개입</t>
    <phoneticPr fontId="4" type="noConversion"/>
  </si>
  <si>
    <t>360개입</t>
    <phoneticPr fontId="4" type="noConversion"/>
  </si>
  <si>
    <t>360개입</t>
    <phoneticPr fontId="4" type="noConversion"/>
  </si>
  <si>
    <t>2개입</t>
    <phoneticPr fontId="4" type="noConversion"/>
  </si>
  <si>
    <t>24개입</t>
    <phoneticPr fontId="4" type="noConversion"/>
  </si>
  <si>
    <t>36개입</t>
    <phoneticPr fontId="4" type="noConversion"/>
  </si>
  <si>
    <t>48개입</t>
    <phoneticPr fontId="4" type="noConversion"/>
  </si>
  <si>
    <t>36개입</t>
    <phoneticPr fontId="4" type="noConversion"/>
  </si>
  <si>
    <t>50개입</t>
    <phoneticPr fontId="4" type="noConversion"/>
  </si>
  <si>
    <t>30개입</t>
    <phoneticPr fontId="4" type="noConversion"/>
  </si>
  <si>
    <t>30개입</t>
    <phoneticPr fontId="4" type="noConversion"/>
  </si>
  <si>
    <t>36개입</t>
    <phoneticPr fontId="4" type="noConversion"/>
  </si>
  <si>
    <t>16개입</t>
    <phoneticPr fontId="4" type="noConversion"/>
  </si>
  <si>
    <t>20발</t>
    <phoneticPr fontId="4" type="noConversion"/>
  </si>
  <si>
    <t>15발</t>
    <phoneticPr fontId="4" type="noConversion"/>
  </si>
  <si>
    <t>60개입</t>
    <phoneticPr fontId="4" type="noConversion"/>
  </si>
  <si>
    <t>144개입</t>
    <phoneticPr fontId="4" type="noConversion"/>
  </si>
  <si>
    <t>보험상한가
(26.9.01기준)</t>
    <phoneticPr fontId="4" type="noConversion"/>
  </si>
  <si>
    <t>입찰
견적군</t>
    <phoneticPr fontId="4" type="noConversion"/>
  </si>
  <si>
    <t>의약품</t>
    <phoneticPr fontId="4" type="noConversion"/>
  </si>
  <si>
    <t>공급실</t>
    <phoneticPr fontId="4" type="noConversion"/>
  </si>
  <si>
    <t>장애인보조기기 등록업체</t>
    <phoneticPr fontId="4" type="noConversion"/>
  </si>
  <si>
    <t>의약품</t>
    <phoneticPr fontId="4" type="noConversion"/>
  </si>
  <si>
    <t>킹파, 메디탑, 다산메디칼, 수성</t>
    <phoneticPr fontId="4" type="noConversion"/>
  </si>
  <si>
    <t>(군산) 절,절단 cotton / (남원) 절단솜</t>
    <phoneticPr fontId="4" type="noConversion"/>
  </si>
  <si>
    <t>(군산) 부직꺼즈 / (남원) 부직포거즈(4겹200매)</t>
    <phoneticPr fontId="4" type="noConversion"/>
  </si>
  <si>
    <t>공급실</t>
    <phoneticPr fontId="4" type="noConversion"/>
  </si>
  <si>
    <t>silicone levin tube</t>
    <phoneticPr fontId="4" type="noConversion"/>
  </si>
  <si>
    <t>I.V flow control line non-DEHP</t>
    <phoneticPr fontId="4" type="noConversion"/>
  </si>
  <si>
    <t>M1003011
M1002090</t>
    <phoneticPr fontId="4" type="noConversion"/>
  </si>
  <si>
    <t>케어메이트, 다이아퍼 코리아, KODICO</t>
    <phoneticPr fontId="4" type="noConversion"/>
  </si>
  <si>
    <t>BJ4312DG</t>
    <phoneticPr fontId="4" type="noConversion"/>
  </si>
  <si>
    <t>Ball Type 광섬유카테타</t>
    <phoneticPr fontId="4" type="noConversion"/>
  </si>
  <si>
    <t>600um,2.2m</t>
    <phoneticPr fontId="4" type="noConversion"/>
  </si>
  <si>
    <t>케어케크</t>
    <phoneticPr fontId="4" type="noConversion"/>
  </si>
  <si>
    <t>비급여</t>
    <phoneticPr fontId="4" type="noConversion"/>
  </si>
  <si>
    <t>Angio Catheter</t>
    <phoneticPr fontId="4" type="noConversion"/>
  </si>
  <si>
    <t>5 Fr*70cm</t>
    <phoneticPr fontId="4" type="noConversion"/>
  </si>
  <si>
    <t>케어케크</t>
    <phoneticPr fontId="4" type="noConversion"/>
  </si>
  <si>
    <t>수술실</t>
    <phoneticPr fontId="4" type="noConversion"/>
  </si>
  <si>
    <t>Guide Wire</t>
    <phoneticPr fontId="4" type="noConversion"/>
  </si>
  <si>
    <t>0.035*150cm</t>
    <phoneticPr fontId="4" type="noConversion"/>
  </si>
  <si>
    <t>두원메디텍</t>
    <phoneticPr fontId="4" type="noConversion"/>
  </si>
  <si>
    <t>큐앤큐메딕㈜</t>
    <phoneticPr fontId="4" type="noConversion"/>
  </si>
  <si>
    <t>수성, 문정</t>
    <phoneticPr fontId="4" type="noConversion"/>
  </si>
  <si>
    <t>협성, 세운, 무한</t>
    <phoneticPr fontId="4" type="noConversion"/>
  </si>
  <si>
    <t>400ml</t>
  </si>
  <si>
    <t>K3001008
K3002021</t>
    <phoneticPr fontId="4" type="noConversion"/>
  </si>
  <si>
    <t>K3002008
K3002021</t>
    <phoneticPr fontId="4" type="noConversion"/>
  </si>
  <si>
    <t>K3004008
K3002021</t>
    <phoneticPr fontId="4" type="noConversion"/>
  </si>
  <si>
    <t>MED-VAC(M-VAC)</t>
    <phoneticPr fontId="4" type="noConversion"/>
  </si>
  <si>
    <t>Silicon suction tube</t>
    <phoneticPr fontId="4" type="noConversion"/>
  </si>
  <si>
    <t>1박스480개</t>
    <phoneticPr fontId="4" type="noConversion"/>
  </si>
  <si>
    <t>20개입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</si>
</sst>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7" formatCode="[$-412]General"/>
    <numFmt numFmtId="178" formatCode="0&quot; &quot;;&quot;-&quot;0&quot; &quot;;&quot; - &quot;;@&quot; &quot;"/>
    <numFmt numFmtId="179" formatCode="#,##0&quot; &quot;;&quot;-&quot;#,##0&quot; &quot;;&quot; - &quot;;@&quot; &quot;"/>
    <numFmt numFmtId="180" formatCode="0_ "/>
    <numFmt numFmtId="181" formatCode="#,##0\ ;\-#,##0\ ;&quot; - &quot;;@\ "/>
    <numFmt numFmtId="182" formatCode="_-* #,##0_-;\-* #,##0_-;_-* \-_-;_-@_-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FF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1"/>
      <charset val="129"/>
    </font>
    <font>
      <sz val="9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0"/>
      <color theme="1"/>
      <name val="돋움"/>
      <family val="3"/>
      <charset val="129"/>
    </font>
    <font>
      <sz val="11"/>
      <color theme="1"/>
      <name val="돋움1"/>
      <family val="3"/>
      <charset val="129"/>
    </font>
    <font>
      <sz val="1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8" fontId="15" fillId="0" borderId="0" applyFont="0" applyBorder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181" fontId="10" fillId="0" borderId="0" applyFill="0" applyBorder="0" applyAlignment="0" applyProtection="0"/>
    <xf numFmtId="0" fontId="24" fillId="0" borderId="0"/>
    <xf numFmtId="0" fontId="17" fillId="0" borderId="0"/>
    <xf numFmtId="0" fontId="26" fillId="0" borderId="0">
      <alignment vertical="center"/>
    </xf>
    <xf numFmtId="179" fontId="26" fillId="0" borderId="0">
      <alignment vertical="center"/>
    </xf>
  </cellStyleXfs>
  <cellXfs count="180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vertical="center" shrinkToFit="1"/>
    </xf>
    <xf numFmtId="41" fontId="10" fillId="0" borderId="5" xfId="1" applyFont="1" applyFill="1" applyBorder="1" applyAlignment="1">
      <alignment horizontal="center" vertical="center" shrinkToFit="1"/>
    </xf>
    <xf numFmtId="41" fontId="9" fillId="0" borderId="5" xfId="1" applyFont="1" applyFill="1" applyBorder="1">
      <alignment vertical="center"/>
    </xf>
    <xf numFmtId="41" fontId="9" fillId="0" borderId="5" xfId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0" fillId="0" borderId="5" xfId="0" applyFont="1" applyBorder="1" applyAlignment="1">
      <alignment horizontal="center" vertical="center" shrinkToFit="1"/>
    </xf>
    <xf numFmtId="41" fontId="9" fillId="0" borderId="5" xfId="1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5" xfId="0" applyNumberFormat="1" applyFont="1" applyFill="1" applyBorder="1" applyAlignment="1">
      <alignment vertical="center" shrinkToFit="1"/>
    </xf>
    <xf numFmtId="41" fontId="9" fillId="2" borderId="5" xfId="1" applyFont="1" applyFill="1" applyBorder="1" applyAlignment="1">
      <alignment vertical="center" shrinkToFit="1"/>
    </xf>
    <xf numFmtId="0" fontId="10" fillId="0" borderId="5" xfId="0" applyNumberFormat="1" applyFont="1" applyFill="1" applyBorder="1" applyAlignment="1">
      <alignment vertical="center" shrinkToFit="1"/>
    </xf>
    <xf numFmtId="41" fontId="10" fillId="0" borderId="5" xfId="1" applyFont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/>
    </xf>
    <xf numFmtId="41" fontId="10" fillId="0" borderId="5" xfId="0" applyNumberFormat="1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vertical="center"/>
    </xf>
    <xf numFmtId="0" fontId="9" fillId="0" borderId="5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vertical="center"/>
    </xf>
    <xf numFmtId="41" fontId="10" fillId="3" borderId="5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0" fillId="0" borderId="5" xfId="0" applyFont="1" applyFill="1" applyBorder="1">
      <alignment vertical="center"/>
    </xf>
    <xf numFmtId="0" fontId="9" fillId="0" borderId="5" xfId="0" applyFont="1" applyFill="1" applyBorder="1" applyAlignment="1">
      <alignment vertical="center"/>
    </xf>
    <xf numFmtId="180" fontId="10" fillId="0" borderId="5" xfId="0" applyNumberFormat="1" applyFont="1" applyFill="1" applyBorder="1" applyAlignment="1" applyProtection="1">
      <alignment horizontal="center" vertical="center"/>
      <protection locked="0"/>
    </xf>
    <xf numFmtId="41" fontId="9" fillId="0" borderId="5" xfId="1" applyFont="1" applyBorder="1">
      <alignment vertical="center"/>
    </xf>
    <xf numFmtId="0" fontId="10" fillId="0" borderId="5" xfId="0" applyFont="1" applyFill="1" applyBorder="1" applyAlignment="1">
      <alignment horizontal="center" vertical="center" wrapText="1" shrinkToFit="1"/>
    </xf>
    <xf numFmtId="41" fontId="10" fillId="0" borderId="5" xfId="0" applyNumberFormat="1" applyFont="1" applyFill="1" applyBorder="1" applyAlignment="1">
      <alignment vertical="center" shrinkToFit="1"/>
    </xf>
    <xf numFmtId="41" fontId="9" fillId="0" borderId="5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vertical="center" shrinkToFit="1"/>
    </xf>
    <xf numFmtId="0" fontId="10" fillId="0" borderId="5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179" fontId="13" fillId="0" borderId="5" xfId="2" applyNumberFormat="1" applyFont="1" applyFill="1" applyBorder="1" applyAlignment="1">
      <alignment horizontal="center" vertical="center" shrinkToFit="1"/>
    </xf>
    <xf numFmtId="177" fontId="10" fillId="0" borderId="5" xfId="0" applyNumberFormat="1" applyFont="1" applyFill="1" applyBorder="1" applyAlignment="1">
      <alignment horizontal="center" vertical="center" shrinkToFit="1"/>
    </xf>
    <xf numFmtId="177" fontId="13" fillId="0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shrinkToFit="1"/>
    </xf>
    <xf numFmtId="0" fontId="10" fillId="0" borderId="5" xfId="5" applyFont="1" applyBorder="1" applyAlignment="1">
      <alignment horizontal="center" vertical="center"/>
    </xf>
    <xf numFmtId="0" fontId="10" fillId="0" borderId="5" xfId="5" applyFont="1" applyFill="1" applyBorder="1" applyAlignment="1">
      <alignment vertical="center" wrapText="1"/>
    </xf>
    <xf numFmtId="0" fontId="22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41" fontId="23" fillId="0" borderId="5" xfId="1" applyFont="1" applyBorder="1" applyAlignment="1">
      <alignment horizontal="center" vertical="center"/>
    </xf>
    <xf numFmtId="0" fontId="10" fillId="0" borderId="5" xfId="5" applyFont="1" applyFill="1" applyBorder="1" applyAlignment="1">
      <alignment vertical="center"/>
    </xf>
    <xf numFmtId="41" fontId="20" fillId="0" borderId="5" xfId="1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5" xfId="0" applyNumberFormat="1" applyFont="1" applyFill="1" applyBorder="1" applyAlignment="1">
      <alignment horizontal="center" vertical="center"/>
    </xf>
    <xf numFmtId="179" fontId="13" fillId="0" borderId="5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vertical="center" wrapText="1" shrinkToFit="1"/>
    </xf>
    <xf numFmtId="41" fontId="9" fillId="0" borderId="5" xfId="1" applyFont="1" applyFill="1" applyBorder="1" applyAlignment="1">
      <alignment horizontal="right" vertical="center"/>
    </xf>
    <xf numFmtId="0" fontId="10" fillId="0" borderId="5" xfId="3" applyNumberFormat="1" applyFont="1" applyFill="1" applyBorder="1" applyAlignment="1" applyProtection="1">
      <alignment horizontal="center" vertical="center" shrinkToFit="1"/>
    </xf>
    <xf numFmtId="0" fontId="10" fillId="0" borderId="5" xfId="3" applyNumberFormat="1" applyFont="1" applyFill="1" applyBorder="1" applyAlignment="1" applyProtection="1">
      <alignment vertical="center" shrinkToFit="1"/>
    </xf>
    <xf numFmtId="0" fontId="10" fillId="0" borderId="5" xfId="0" applyNumberFormat="1" applyFont="1" applyFill="1" applyBorder="1" applyAlignment="1">
      <alignment horizontal="left" vertical="center" shrinkToFit="1"/>
    </xf>
    <xf numFmtId="41" fontId="9" fillId="0" borderId="5" xfId="0" applyNumberFormat="1" applyFont="1" applyFill="1" applyBorder="1" applyAlignment="1">
      <alignment horizontal="center" vertical="center" shrinkToFit="1"/>
    </xf>
    <xf numFmtId="182" fontId="9" fillId="0" borderId="5" xfId="6" applyNumberFormat="1" applyFont="1" applyFill="1" applyBorder="1" applyAlignment="1" applyProtection="1">
      <alignment vertical="center" shrinkToFit="1"/>
    </xf>
    <xf numFmtId="0" fontId="9" fillId="0" borderId="5" xfId="0" applyNumberFormat="1" applyFont="1" applyFill="1" applyBorder="1" applyAlignment="1" applyProtection="1">
      <alignment vertical="center" shrinkToFit="1"/>
    </xf>
    <xf numFmtId="0" fontId="10" fillId="0" borderId="5" xfId="0" applyNumberFormat="1" applyFont="1" applyFill="1" applyBorder="1" applyAlignment="1" applyProtection="1">
      <alignment horizontal="center" vertical="center"/>
      <protection locked="0"/>
    </xf>
    <xf numFmtId="177" fontId="9" fillId="0" borderId="5" xfId="0" applyNumberFormat="1" applyFont="1" applyFill="1" applyBorder="1" applyAlignment="1">
      <alignment vertical="center"/>
    </xf>
    <xf numFmtId="177" fontId="9" fillId="0" borderId="5" xfId="0" applyNumberFormat="1" applyFont="1" applyFill="1" applyBorder="1" applyAlignment="1">
      <alignment horizontal="center" vertical="center" shrinkToFit="1"/>
    </xf>
    <xf numFmtId="178" fontId="9" fillId="0" borderId="5" xfId="2" applyFont="1" applyFill="1" applyBorder="1" applyAlignment="1" applyProtection="1">
      <alignment horizontal="right" vertical="center" shrinkToFit="1"/>
    </xf>
    <xf numFmtId="181" fontId="9" fillId="0" borderId="5" xfId="3" applyNumberFormat="1" applyFont="1" applyFill="1" applyBorder="1" applyAlignment="1" applyProtection="1">
      <alignment vertical="center" shrinkToFit="1"/>
    </xf>
    <xf numFmtId="0" fontId="10" fillId="3" borderId="5" xfId="8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77" fontId="9" fillId="0" borderId="5" xfId="9" applyNumberFormat="1" applyFont="1" applyFill="1" applyBorder="1" applyAlignment="1">
      <alignment vertical="center" shrinkToFit="1"/>
    </xf>
    <xf numFmtId="0" fontId="9" fillId="0" borderId="5" xfId="9" applyFont="1" applyFill="1" applyBorder="1" applyAlignment="1">
      <alignment horizontal="center" vertical="center" shrinkToFit="1"/>
    </xf>
    <xf numFmtId="0" fontId="13" fillId="0" borderId="5" xfId="9" applyFont="1" applyFill="1" applyBorder="1" applyAlignment="1">
      <alignment horizontal="center" vertical="center" shrinkToFit="1"/>
    </xf>
    <xf numFmtId="179" fontId="9" fillId="0" borderId="5" xfId="10" applyFont="1" applyFill="1" applyBorder="1" applyAlignment="1" applyProtection="1">
      <alignment horizontal="right" vertical="center" shrinkToFit="1"/>
    </xf>
    <xf numFmtId="0" fontId="9" fillId="0" borderId="5" xfId="9" applyFont="1" applyFill="1" applyBorder="1" applyAlignment="1">
      <alignment vertical="center"/>
    </xf>
    <xf numFmtId="0" fontId="9" fillId="0" borderId="5" xfId="9" applyFont="1" applyFill="1" applyBorder="1" applyAlignment="1">
      <alignment horizontal="center" vertical="center"/>
    </xf>
    <xf numFmtId="0" fontId="9" fillId="0" borderId="5" xfId="9" applyFont="1" applyFill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41" fontId="10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center" vertical="center"/>
    </xf>
    <xf numFmtId="41" fontId="27" fillId="0" borderId="0" xfId="1" applyFont="1" applyAlignment="1">
      <alignment horizontal="center" vertical="center"/>
    </xf>
    <xf numFmtId="41" fontId="16" fillId="0" borderId="0" xfId="1" applyFont="1" applyFill="1">
      <alignment vertical="center"/>
    </xf>
    <xf numFmtId="0" fontId="0" fillId="0" borderId="0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0" fillId="0" borderId="5" xfId="0" applyFont="1" applyFill="1" applyBorder="1" applyAlignment="1">
      <alignment vertical="center" wrapText="1" shrinkToFit="1"/>
    </xf>
    <xf numFmtId="0" fontId="10" fillId="0" borderId="5" xfId="0" quotePrefix="1" applyFont="1" applyFill="1" applyBorder="1" applyAlignment="1">
      <alignment horizontal="center" vertical="center" shrinkToFit="1"/>
    </xf>
    <xf numFmtId="180" fontId="10" fillId="0" borderId="5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5" xfId="0" quotePrefix="1" applyNumberFormat="1" applyFont="1" applyFill="1" applyBorder="1" applyAlignment="1" applyProtection="1">
      <alignment horizontal="center" vertical="center"/>
      <protection locked="0"/>
    </xf>
    <xf numFmtId="0" fontId="9" fillId="0" borderId="5" xfId="0" quotePrefix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10" fillId="4" borderId="5" xfId="0" applyFont="1" applyFill="1" applyBorder="1" applyAlignment="1">
      <alignment horizontal="center" vertical="center" shrinkToFit="1"/>
    </xf>
    <xf numFmtId="41" fontId="10" fillId="4" borderId="5" xfId="1" applyFont="1" applyFill="1" applyBorder="1" applyAlignment="1">
      <alignment horizontal="center" vertical="center" shrinkToFit="1"/>
    </xf>
    <xf numFmtId="41" fontId="9" fillId="4" borderId="5" xfId="1" applyFont="1" applyFill="1" applyBorder="1" applyAlignment="1">
      <alignment vertical="center" shrinkToFit="1"/>
    </xf>
    <xf numFmtId="0" fontId="1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27" fillId="0" borderId="0" xfId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8" xfId="0" applyNumberFormat="1" applyFont="1" applyFill="1" applyBorder="1" applyAlignment="1">
      <alignment vertical="center" shrinkToFit="1"/>
    </xf>
    <xf numFmtId="41" fontId="9" fillId="2" borderId="8" xfId="1" applyFont="1" applyFill="1" applyBorder="1" applyAlignment="1">
      <alignment vertical="center" shrinkToFit="1"/>
    </xf>
    <xf numFmtId="41" fontId="10" fillId="0" borderId="13" xfId="1" applyFont="1" applyFill="1" applyBorder="1" applyAlignment="1">
      <alignment horizontal="center" vertical="center" shrinkToFit="1"/>
    </xf>
    <xf numFmtId="41" fontId="9" fillId="0" borderId="13" xfId="1" applyFont="1" applyFill="1" applyBorder="1" applyAlignment="1">
      <alignment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/>
    </xf>
    <xf numFmtId="179" fontId="13" fillId="0" borderId="13" xfId="2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3" xfId="0" applyNumberFormat="1" applyFont="1" applyFill="1" applyBorder="1" applyAlignment="1">
      <alignment vertical="center" shrinkToFit="1"/>
    </xf>
    <xf numFmtId="41" fontId="3" fillId="0" borderId="0" xfId="1" applyFont="1" applyBorder="1" applyAlignment="1">
      <alignment vertical="center"/>
    </xf>
    <xf numFmtId="41" fontId="16" fillId="0" borderId="2" xfId="1" applyFont="1" applyBorder="1" applyAlignment="1">
      <alignment horizontal="center" vertical="center" wrapText="1"/>
    </xf>
    <xf numFmtId="41" fontId="16" fillId="0" borderId="5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9" fillId="2" borderId="6" xfId="1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41" fontId="9" fillId="2" borderId="9" xfId="1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 shrinkToFit="1"/>
    </xf>
    <xf numFmtId="0" fontId="30" fillId="0" borderId="6" xfId="0" applyFont="1" applyBorder="1" applyAlignment="1">
      <alignment horizontal="center" vertical="center" wrapText="1" shrinkToFit="1"/>
    </xf>
    <xf numFmtId="41" fontId="28" fillId="0" borderId="5" xfId="1" applyFont="1" applyFill="1" applyBorder="1" applyAlignment="1">
      <alignment horizontal="center" vertical="center" shrinkToFit="1"/>
    </xf>
    <xf numFmtId="41" fontId="28" fillId="0" borderId="8" xfId="1" applyFont="1" applyFill="1" applyBorder="1" applyAlignment="1">
      <alignment horizontal="center" vertical="center" shrinkToFit="1"/>
    </xf>
    <xf numFmtId="41" fontId="28" fillId="0" borderId="16" xfId="1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8" xfId="0" applyNumberFormat="1" applyFont="1" applyFill="1" applyBorder="1" applyAlignment="1">
      <alignment vertical="center" shrinkToFit="1"/>
    </xf>
    <xf numFmtId="0" fontId="10" fillId="0" borderId="18" xfId="0" applyFont="1" applyFill="1" applyBorder="1" applyAlignment="1">
      <alignment vertical="center" shrinkToFit="1"/>
    </xf>
    <xf numFmtId="0" fontId="10" fillId="0" borderId="13" xfId="0" applyFont="1" applyFill="1" applyBorder="1" applyAlignment="1">
      <alignment vertical="center" shrinkToFit="1"/>
    </xf>
    <xf numFmtId="0" fontId="25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0" fontId="10" fillId="2" borderId="20" xfId="0" applyNumberFormat="1" applyFont="1" applyFill="1" applyBorder="1" applyAlignment="1" applyProtection="1">
      <alignment horizontal="center" vertical="center"/>
      <protection locked="0"/>
    </xf>
    <xf numFmtId="0" fontId="10" fillId="2" borderId="20" xfId="0" applyNumberFormat="1" applyFont="1" applyFill="1" applyBorder="1" applyAlignment="1">
      <alignment horizontal="left" vertical="center"/>
    </xf>
    <xf numFmtId="0" fontId="10" fillId="2" borderId="20" xfId="0" applyNumberFormat="1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20" xfId="0" applyNumberFormat="1" applyFont="1" applyFill="1" applyBorder="1" applyAlignment="1">
      <alignment horizontal="left" vertical="center" shrinkToFit="1"/>
    </xf>
    <xf numFmtId="0" fontId="28" fillId="2" borderId="20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4" borderId="16" xfId="0" applyFont="1" applyFill="1" applyBorder="1" applyAlignment="1">
      <alignment horizontal="center" vertical="center" shrinkToFit="1"/>
    </xf>
  </cellXfs>
  <cellStyles count="11">
    <cellStyle name="Excel Built-in Comma [0]" xfId="2"/>
    <cellStyle name="Excel Built-in Comma [0] 2" xfId="10"/>
    <cellStyle name="쉼표 [0]" xfId="1" builtinId="6"/>
    <cellStyle name="쉼표 [0] 10 3 2" xfId="3"/>
    <cellStyle name="쉼표 [0] 2 42 2" xfId="6"/>
    <cellStyle name="표준" xfId="0" builtinId="0"/>
    <cellStyle name="표준 130" xfId="7"/>
    <cellStyle name="표준 2 2" xfId="5"/>
    <cellStyle name="표준 2 4" xfId="9"/>
    <cellStyle name="표준 2 4 6" xfId="8"/>
    <cellStyle name="표준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BF901-B77D-4C13-8D3F-1CB49A62A8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A94440-3511-4618-BCA3-BFA87460E6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B4A540-74F5-42DF-9172-A0D7DFD757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6333AE-1B9F-4E7C-A3DC-4CDA7043BC5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E72294-F0A6-4B7A-B1B2-0070A2957B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A3E6E5-7F9E-485A-9B2B-15CF42163F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227220-EFB7-437D-8424-89DF7868CE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6D85C1-72E8-4AF6-B09C-3F865D9670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4355A0-2B39-4017-9628-85DEAD1D57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9C7C5A-280F-40D3-9DB8-339FE5429A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061C83-60FE-4FB5-B040-D1F10B248E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A5EE41-5977-4D07-9F63-CCE72BC5A84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A1055B-882A-48D5-A404-231FDA0DE8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7020AA-DDE1-40C3-8AEC-6B7FF676A7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2BF7F9-F1DC-4329-B4F9-37708B4993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896A15-D1CB-4B43-B7A5-13E178ED745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C84814-81BF-4E17-86D8-7AEBE32152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72550F-B3AD-4CB3-B75A-224F57FF425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8070A5-18C3-4B0D-86E8-DA2326711C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A2E883-99F6-48F5-9335-2C6A8B3969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72B4F9-12B4-471C-A635-88A6B1359D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210819-49ED-47B6-86F6-C34D743E4A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8DACEC-58AE-4C7B-9FA5-015A4757F5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3C2D3C-BDFC-4D64-9FF0-F58B27140C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96DD0A-80F4-4A0A-8339-9601089F185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01A225-2201-416A-A63D-BA61E65810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6AADA2-EA98-40FF-B8CC-8019FEC0C2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8D2934-BB25-4618-AB0B-CC7C86B9E6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B0CE10-B189-4FB6-8DAD-D1C60A3E9C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2FB47F-8BE9-4FC5-984D-1810A9B5E7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DB8FFB-CB54-4B80-A001-C9607F0072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EDE3E5-38E2-4E59-AAE8-796A6546BA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F6711D-2311-4690-8EF6-457390609E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B13C3F-CFDD-4DA1-BEC9-D70EEA0598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F86EE7-25FC-41FC-B48F-470B73FAA0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54230D-89D6-4401-993B-B7164F2FC5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CE70B4-4A29-470C-ACB5-9AA0CE4388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E9743C-B191-46A6-B747-E11E8FB1FC2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06BFBD-3BC4-47EA-98B3-FFC8EC62F1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6EF4E8-D4FF-4FD3-AF16-C9B25D29EB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75D7B4-E552-4873-BBD4-455DBC30564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9472DE-A20A-4540-8928-9EA05A7426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9B7139-6D2C-4355-BC14-71E3CA71B7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660B43-CF81-423B-9D30-DB9CCDD3D3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BBEE66-9163-4526-9A01-E87AC334AA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EC1469-AC80-465A-B81E-A0B27E7BEBA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CA21C4-40EB-4697-A4B8-8A0625274F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48945B-C94A-4901-A159-D7E6CCE65A3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732ABC-CC7C-4B5C-916E-4D845D981E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A14F62-531E-4377-9A23-21C0ACED69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40CE61-5CA3-4568-81C1-52E90B2A1DD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7E61D9-C017-4EF0-B969-A31D444067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17E808-83BF-4EA4-B0F6-FC870FD82D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BFF7DD-317A-45D0-A259-96530C7434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183F60-C86F-400A-B7FA-3351190136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91CA50-8550-49FB-A15B-3F6B3DCA25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A16291-8500-4DE7-B16F-C2D978DDAA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47C694-9474-46ED-B2AB-1B6CF59F43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2CA7A3-98FE-49AB-9B58-FE5BA14E2C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587DA7-0BC2-45D6-9274-717CDBEE073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F442BF-E3D3-4A98-A20F-7E2F6AA7055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A518E1-5C1A-4153-A78B-B58AA60D3B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E143E3-D125-467F-BFDD-1A42112F9B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354121-EFA4-4B89-A81B-7301C299CE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EF2148-06E1-4419-BEFC-2179C621A9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703CB1-67AD-4D1E-80A3-57777E6722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FDBDFE-6920-4659-901E-9F38BD1A66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14DF35-C8F2-4A10-9003-85BE532456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A61158-87C4-45C8-B1B8-BD06B6759B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A707DA-B6DE-4E50-80F0-0C47B867C9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C20207-8B2F-43A8-8F5B-FA7F7B9F54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80B41E-F7B2-428C-8F56-2138186A11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DC72A5-3786-491B-BB5B-69AD65F11E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7597A-6BC1-464E-BDAF-4CEFCE2094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731B0E-A532-452A-A5DF-C868C8F6BB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CE60A7-0B02-4F08-888A-9A6CE373C6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7BCB87-32BE-4492-94DB-645A35AF41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2CD63C-509B-4821-8A67-E903381BA8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01AF25-9675-4FF0-ACC2-8BD079DDB4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5AE345-CDD0-461F-8C45-8FE1BBB0E1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7435AE-4AA9-4094-8B58-0E5A7BA640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4AE85E-AA21-4731-827E-5680BC44F6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0CD3D7-FAE9-46B1-8DC1-1173050F319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278DD4-E20B-43F8-97F2-9120F993A0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4E7057-49BF-42F7-A936-A58110F7AC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B31A24-C2DF-43DD-98E7-B23305336F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063D83-4AA6-40BE-9400-7703FD444D8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E30CF6-9881-4CB2-A8CE-31EF5E2257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FA4DAC-6B1A-4CDB-9E9D-11A949E988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DCAE7D-D959-4D06-A0DB-B835246FDD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301FEF-2C96-4769-9458-EEC22412D9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F5B5D7-B316-4F40-BEAE-9858ED8AE9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C1A48B-8C96-4AAC-87ED-B3168BA101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4FC56B-BA56-4327-A2D0-5D7D87EC5A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9FF0E1-EF9E-4345-8A57-011D6458BC0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ABD3ED-36AD-4582-9BB5-6FB1DE6925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68007C-FC3C-4A33-ACDC-13AD965A834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31AD1A-B805-4291-AD3E-ED840D723B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53041C-981A-4C3A-9AA8-6565D9A5BE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A6F93D-1608-4B55-BFDB-B09AC37C8A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A1EE9F-B960-49E7-B55D-67F2654D5C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0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F11D82-D1B9-433F-BD1D-AE86EE03D7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742359-5C1B-4C0A-A672-18E0CF181F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0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766845-9A14-4C80-9156-8A3EBEE7EC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BB6FE6-2A66-4498-BCE4-4930D28991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C1F4EE-3CD8-4D2D-8EB9-33CC2F03C6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DB6B46-CD75-4C48-9197-7B222FE2C0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F82955-ABBB-42A9-BAFF-E88A3D4509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B54BD9-0BEB-4290-B1D9-CC34A76F27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AF7068-C787-4C40-8EE7-6CB098B6B6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FDD9C6-ABC3-4DA4-B844-617B646319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9B2433-6503-4811-B9FD-295B16AD98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1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34A141-75A3-4292-8AB1-F81F8769E7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A5D5F6-19BF-4CDF-8355-68A34677D6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1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B8F2B3-0DB3-4F29-A2C3-669D1A42732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0E91CC-348D-4E20-B814-1AEE7B6C1FE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7AE12F-1D89-4570-A1DE-36D8F8C39C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EF5D72-37EB-4785-A2C2-551281CADE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8E400C-9D9A-4657-B5E6-990FB99972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E2462F-0A08-4D40-8150-C036897F711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6229D7-82FE-46AE-A364-649E33BDF7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F25EBB-47EC-4BFD-81ED-5522E574784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D2DA31-9D85-4A31-B6D7-28AAE522D4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2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77C4BA-3DCA-4767-B141-2AB69AB932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1B645E-1012-45A7-A722-5E36614140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420185-41D7-44BB-B09B-95EEDC7F6F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41AC95-7B3E-48C8-87DB-3024FC4FCE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23DB0-3764-4D6F-BFEF-2DF6A5712F5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CAB0BD-88EA-4F2B-8AF1-200FE950ED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E23EB9-BBF8-455B-9B5B-C892F16BF5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BCF219-7F59-4A66-84C6-6A02A856A6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DE18B5-E972-4D27-807B-E0C141901F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5B04D-1C04-47A3-B4A9-EB7051C962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1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BA11DB-0A4B-473E-91C5-B463E18875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1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363318-A020-4A29-884F-E9D8747C42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1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73A44B-3504-49F2-8533-3B2B05F20D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1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B8FE5D-C0E3-487C-83F6-019A79CE9E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B4D653-8203-4975-A4EE-BFA9F08403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BE7D3D-9B79-4492-A1F7-BF69AD489E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E01EAE-CC7A-4D49-87A0-79A21365FB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1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2BB0CB-5364-496F-98F6-1B02CB53F4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D9B234-7307-482B-AFF6-99D656A86B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91B595-4E56-4836-94F4-1B9CFC1745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8BE1AA-D4F6-4062-9F0C-AED110D2E7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1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D4B0A-052D-44FE-889C-4B6BBA7F68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1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7B32EA-FDBD-4889-BC29-A7A7C1209C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1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FE8DD4-38D6-470F-B1E3-A418289211C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1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626D4E-156D-45FC-A143-1ECF7CFCF3D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4DB8E-9327-4B00-9AA5-BD4EBE785E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7080B3-25C9-49EF-82AC-D22DC31B855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35BF75-77A0-49E1-AEE1-67D3D66DB4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1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5A6878-514A-4E45-B4F0-9820814D7D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45935B-3AE7-43D3-8F88-B7124C18C5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5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091CC5-2F5E-48C6-8A26-647B98FB6D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746651-E89F-48C1-A904-B043DD7F91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094915-05D2-491B-80BB-80F5BD09E9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D988F9-F8CE-45C5-A40B-889DC5C2529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0575E1-8B74-476A-8D6B-6DEB5B2641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2FDB26-F909-4D43-B894-2B16837B4A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0E7A15-6F07-47E3-BFB7-B6D075E81F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62A521-ACE7-4130-80C0-ED82CB8002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EC5630-E33D-43C1-9C24-1ED3640159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55DECE-7D04-4BCB-95B1-2A1B7F8EB55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A8AB34-31D9-47A9-9075-92F9B1C93C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6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084652-8609-48BF-A255-B9EEAB67BF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E47309-5E44-454A-96AB-F94EAC4717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59311D-C949-40B0-AE3A-08032D8240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43583B-18ED-4C36-A20C-0B01499EAC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BD43DE-4054-4209-B04E-4761B13855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5DE5E3-AB66-4764-83D5-7B8B1978DD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F26A42-59D6-4A21-AB14-933FD4E6CA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33509F-BA02-4E2F-8DED-75D08B568B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60EEDE-78F0-4AC6-AA14-168230C1E8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564502-11E9-4DC0-9CFA-DCC3671516E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DD9697-AA43-44CD-8D28-E65CEDF69B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7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9B87A4-2FEE-4E43-A658-3DCBB792CF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BDF6D1-4EA4-48CC-99E2-A557C89DCA4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F5C392-545B-451B-9BAA-D49B7E3FF0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BA7B60-F54C-4449-864A-38139AA267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318808-BD4F-44DF-B50D-F5BA0C6985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04C2E5-EF00-4A05-BD06-3D82998A6D6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5148C2-53D5-4E62-A77B-C85491A9D8E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8C514E-AAAB-4488-B3CD-A0E751157D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9E4DC5-4697-44C3-9A98-FCBF68113C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1CC988-05E8-4CDF-A97B-D5A70B8074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4027F7-CA55-4331-8EDF-3096F66F96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8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450ADE-1A01-47C1-BAC9-EA94DE820C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D861AA-A2DC-401A-B72C-53ECDD55B1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1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953CE6-F773-4F2A-ACEA-C87FEB1BC1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1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C28618-C95C-4008-A72D-D6AA53FA37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1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2D87E2-088C-4285-8D2C-0C2267D33D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1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6207A5-26C3-4251-8E45-210F4907C0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0F1FE5-04DD-4AFB-91D0-E0A5917C96A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2231D2-79A1-469D-BF77-64774C3697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3A77A6-1460-4E07-947A-C937BFEEBF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1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8DDB28-0CBA-46F2-AD79-CCCD8368A3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706386-19EB-4859-B332-0963017017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9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5AFEEF-F794-4334-8E48-57C38607B5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2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C7ECB5-7DC1-4C68-A417-3F18EA4ABA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2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195EAE-EAC2-49C8-8C25-4E87A89D99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2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036640-E95C-4A19-895A-99D6AAC5EFA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2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BFF2E8-E396-4502-93B7-F1192D262A1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2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5F7825-4A4D-4DCD-B866-8F024779AF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2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987348-DBD4-4B91-A4BD-B508DB0DE9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2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7093E4-384D-4E75-949E-61490876AC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2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E57E65-FE90-492A-97CE-2DB7235EF5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2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739726-3AFB-4CF6-8DD8-49FE524B98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2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D41C3A-92E1-4FA4-BC42-C130D4AAE9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21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86EF9B-E851-475B-8FC9-31C4E7EDB8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2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1AA662-2C1F-44CC-A9DE-CC109A4C4D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886A32-E149-4434-9F63-35AB10088C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7E70CC-628B-4B17-87E7-F153A90F61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2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85DC9B-9B38-4F0D-A4B1-1CAD039566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78BDAD-F3A1-4040-9203-A2F219A94A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FD1B11-7151-4C85-A54C-FE1BA2E289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2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7856EC-4F5B-4312-A726-58A1EA80B3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B920BA-DB5A-4B9A-9942-97A3E53462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560786-3561-482F-B7A4-6237F292837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2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51918D-AE9E-4C0D-AB02-C8A17906ED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2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50A17F-C6D3-4EEA-9912-361B5678EF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2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25CD7A-F0D7-4516-904E-378E8F7CF19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2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88412D-6A11-41A0-9617-AB9FD9B97F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2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364E8B-C048-472C-ADD0-9052329F25A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2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0364CA-D3F5-4250-8E14-9FE27090BB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2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E92F0F-21BC-4C5F-80C7-84698F0CBC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DC30F9-B3D1-46DE-B170-BBCECC30CC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8BB951-9321-459D-AABB-6E38ED1F55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DD780D-2348-48B5-AE79-DFEE87BFEB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A58AE7-D1A9-4FAA-B266-672D5A5076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4DDF47-F406-47BB-80C6-2B6F69654E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F8F5E6-42E2-4BE3-B3DC-46B1361827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868F14-4F6B-4E3F-A4FD-C83F923E43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89B562-1BD2-4D38-92FC-CAB7ECEB30E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52B95F-4C20-4033-BEFA-306F59C487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EDDECC-FD05-4FE6-91D5-206F77BC4C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18139B-B864-44FD-9E0E-C38F5516CD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250B10-47DC-4DFA-99D5-EA2C658A98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2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B9D239-937B-4204-B9F7-BA278DAC23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D99D76-7340-4F6F-BE1C-23B14CBDC0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735066-979E-4F34-9515-5233EF4DBC9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2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704ED1-ADCC-4C69-BCD3-E9AC3292A1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8E523D-4308-4CD9-B77D-E608F98DBC5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2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C9CC42-E8CD-4A4E-AEA5-B5395B8F16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2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71D5B9-BC20-437C-9313-34F401F54D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2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898B5F-1C91-41D6-B18A-BF3D3B2F54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2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315EF1-6A54-4EA6-945A-5EF5FDA6A6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2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300EDA-1D54-4088-B2E5-5161F21F96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2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25D0E7-BCC1-46B1-A831-19E7C44AFD2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2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5B3EF-5C6E-4845-9E4C-3CBF7E9AC1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2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2B90B9-71CE-48DB-80D5-16834F820D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C38186-2ED2-4A29-B71F-FD1774A438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CD2C17-AD06-4EBF-B70F-51BD240C46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86FAFC-B288-49BA-82AF-BA754EE400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E8AF59-240F-4D01-A64F-60021B3254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C22E44-58A5-49C3-9755-036E1186B8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52F1C5-D7DC-4ECB-BB0C-6D36D405CF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BEBA20-814A-4A6F-875F-71A841A96B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2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F92EE0-650A-4F0F-9B84-6576FE143E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7CBF4B-DE50-40A6-B250-B2ACD4D297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2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35D972-002A-4328-B8F6-AC929B4C87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0A5F92-239E-4604-B2FA-F744C8218B4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2EF25D-CE50-4492-BEBA-C357ABB5EB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81907</xdr:rowOff>
    </xdr:to>
    <xdr:sp macro="" textlink="">
      <xdr:nvSpPr>
        <xdr:cNvPr id="2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59F673-1B3E-40F7-BDF1-CEC7316B45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281CD6-8C68-4A28-A282-EB96A7F08B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45E1F7-F6D0-4003-832F-E466B98A698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81907</xdr:rowOff>
    </xdr:to>
    <xdr:sp macro="" textlink="">
      <xdr:nvSpPr>
        <xdr:cNvPr id="2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E3AAA-8491-4DA9-8464-3629453244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66A747-DD70-44CF-A0C4-B86DABC254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0F0139-4514-4939-9F82-1D49234571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81907</xdr:rowOff>
    </xdr:to>
    <xdr:sp macro="" textlink="">
      <xdr:nvSpPr>
        <xdr:cNvPr id="2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D4754A-01F7-4368-858D-01CE73D578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75080</xdr:rowOff>
    </xdr:to>
    <xdr:sp macro="" textlink="">
      <xdr:nvSpPr>
        <xdr:cNvPr id="2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B8352A-5836-4C15-B5E0-887548A323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75080</xdr:rowOff>
    </xdr:to>
    <xdr:sp macro="" textlink="">
      <xdr:nvSpPr>
        <xdr:cNvPr id="2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B21732-A15D-4BF2-8FB2-70B0E3EA83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77321</xdr:rowOff>
    </xdr:to>
    <xdr:sp macro="" textlink="">
      <xdr:nvSpPr>
        <xdr:cNvPr id="2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3E718D-B12B-4D44-91AE-573A9B9754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77321</xdr:rowOff>
    </xdr:to>
    <xdr:sp macro="" textlink="">
      <xdr:nvSpPr>
        <xdr:cNvPr id="2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35B845-954B-4004-996D-F09E3F437E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71720</xdr:rowOff>
    </xdr:to>
    <xdr:sp macro="" textlink="">
      <xdr:nvSpPr>
        <xdr:cNvPr id="2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A0D30F-9A91-406F-B6A6-1A511ABA5E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71720</xdr:rowOff>
    </xdr:to>
    <xdr:sp macro="" textlink="">
      <xdr:nvSpPr>
        <xdr:cNvPr id="2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6E9D43-51EE-46EF-9ADA-964FFD185A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2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98725C-2D8A-47CF-9A66-3DD88518AF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2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087EAB-48CB-4B4E-B62E-008A18D43D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2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23644A-FD9C-4E33-BCFB-D7E11B133E3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2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F86B67-8712-41C2-8B0A-CAC1AAF490B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2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D835E2-499C-4756-8FED-67E09482424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2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4A3E76-CEEC-420F-B20A-7A93AC9D86A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2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32F535-326B-469A-915B-C48090FCD4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2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93F358-0CAD-462A-A953-34AE063D918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2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72FC5D-08DA-4AAC-BDF6-53CCB4451D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2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906961-F543-4AC4-B06A-1857E828CE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4653C1-2D5B-44AA-A558-2442FE0D50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4CCA0A-D2D5-4E17-830F-EFD609F4A2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81907</xdr:rowOff>
    </xdr:to>
    <xdr:sp macro="" textlink="">
      <xdr:nvSpPr>
        <xdr:cNvPr id="2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6630B1-20F8-4D34-84C8-84619DD886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D65FB5-0612-4946-8FC7-4BF3B965DEF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C9372B-339B-4EFA-A390-FD8FD9C4B0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81907</xdr:rowOff>
    </xdr:to>
    <xdr:sp macro="" textlink="">
      <xdr:nvSpPr>
        <xdr:cNvPr id="2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60804D-01D0-4578-A7C4-C9F50F9FCA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287A4-59FE-4121-A3D6-9A89E502C6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80174</xdr:rowOff>
    </xdr:to>
    <xdr:sp macro="" textlink="">
      <xdr:nvSpPr>
        <xdr:cNvPr id="2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8F065D-9181-4597-9C93-44496C55D2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81907</xdr:rowOff>
    </xdr:to>
    <xdr:sp macro="" textlink="">
      <xdr:nvSpPr>
        <xdr:cNvPr id="2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E85C45-2059-48D0-9605-4CB74004F0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75080</xdr:rowOff>
    </xdr:to>
    <xdr:sp macro="" textlink="">
      <xdr:nvSpPr>
        <xdr:cNvPr id="2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605CFF-6784-4B87-9D4D-5E7DBB59F3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75080</xdr:rowOff>
    </xdr:to>
    <xdr:sp macro="" textlink="">
      <xdr:nvSpPr>
        <xdr:cNvPr id="2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C399D5-1A4C-4270-A064-34973CFC8B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77321</xdr:rowOff>
    </xdr:to>
    <xdr:sp macro="" textlink="">
      <xdr:nvSpPr>
        <xdr:cNvPr id="2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68BA1F-7CF3-4660-875E-7F5C772840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77321</xdr:rowOff>
    </xdr:to>
    <xdr:sp macro="" textlink="">
      <xdr:nvSpPr>
        <xdr:cNvPr id="2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47C592-09EE-4E50-8A8E-7038C8BC09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71720</xdr:rowOff>
    </xdr:to>
    <xdr:sp macro="" textlink="">
      <xdr:nvSpPr>
        <xdr:cNvPr id="3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04DF0D-4622-497E-A300-EB568306DF9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71720</xdr:rowOff>
    </xdr:to>
    <xdr:sp macro="" textlink="">
      <xdr:nvSpPr>
        <xdr:cNvPr id="3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2E16DC-A1C2-4C23-831D-162298CA65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3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941AC8-EF36-4C38-BB14-CCDC231573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3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AEE225-6053-484D-BF9D-141632D1F3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3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7BB410-29DD-4423-8FBC-8490D1316F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3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F3A8CA-6452-42D5-A3FB-3DFBE68623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3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338121-C5A8-4EB1-B678-E2B5601F03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3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656CFB-E2E0-479D-A402-503B04D77D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3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2D0A62-B945-44C4-A4E1-9583B75D8D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88631</xdr:rowOff>
    </xdr:to>
    <xdr:sp macro="" textlink="">
      <xdr:nvSpPr>
        <xdr:cNvPr id="3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F469BD-CC9D-4FD3-90A2-BBB6C73B47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3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CC4905-A52C-4974-913C-9D5FEB3EC9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429</xdr:row>
      <xdr:rowOff>0</xdr:rowOff>
    </xdr:from>
    <xdr:to>
      <xdr:col>13</xdr:col>
      <xdr:colOff>304800</xdr:colOff>
      <xdr:row>430</xdr:row>
      <xdr:rowOff>78444</xdr:rowOff>
    </xdr:to>
    <xdr:sp macro="" textlink="">
      <xdr:nvSpPr>
        <xdr:cNvPr id="3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91ABBF-CE5A-48C0-A62A-CAA0A140B6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28406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EB65C2-7189-4AE9-B617-9E52E7D5CD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40519C-5ED4-4F1D-816C-7E3FFEFE55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3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1430C3-D4B1-4547-BB5D-3DC46B2687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2D14E6-1976-473C-AF42-F03A148B972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0D52E0-DBF0-4767-9C59-7631AA49E44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3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F255AE-EBCE-4FF4-BD2A-1E01B2B9B8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F7B667-132C-4126-A348-5A2381F45D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BDBBCB-3943-421F-A496-B8F38E1208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3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9A361B-634C-4BD1-A709-B5146695A8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3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8F217B-F848-49C3-B11D-3FCFA370F3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3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A2C4CA-B0FB-490B-BAF1-8E1E801C32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3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38894F-F997-4807-BC84-DEF88A7B255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3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3459EC-196A-42BA-8630-041683D88A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3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1BE967-25FA-4930-B487-0825AA9043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3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7FB397-55F7-488A-B330-7C4E674D2F3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F67EC2-5D0F-4409-AE68-F4A31F71F0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E323D6-B624-4DE9-8112-37DCA9260A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87E8D1-A818-46FE-91F5-EE07791D27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197A25-1DB0-4E17-9D27-7E252A39C8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11C442-1235-4133-A3CF-24E59DD25D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ED6413-8397-4AF1-965D-0A76E6DDDD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129404-1E03-4793-A757-90BDF6B14F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36D5DC-CD5A-4C75-B33B-FA47B593C6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8509B8-A40C-41B2-9A15-C8382FEB3B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ACA976-72B5-4826-B466-97E9CFB2D1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9C7BEB-DFA2-4104-8D2A-0A8A9396832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99E1E6-D670-469F-B955-DB17D0AD839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3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3C4B0C-9343-4AA8-8CBB-66B130FBEF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699CF9-31DA-471D-81D9-13973C93CE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B694C4-73CF-4A5E-B8D6-CE24837F4B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3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110177-5A89-4E28-BB52-872930AAF0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35D2BF-58D6-4374-9CD0-CF2A59E42B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3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27BA2A-08CC-4D02-A885-8C190C6A61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3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F11487-2515-432E-B5D4-C807497E4CE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3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FFB760-84FE-4537-A414-B24F686BCE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3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9417FD-B261-49C6-8B00-55730111A2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3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8F3A1E-230B-45EB-A809-3A64278BF7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3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CEA6FB-D93F-4862-8F75-251E9B4B15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3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A62B88-7C3A-4096-83EA-0D6629601D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3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BADB5F-1975-4BC5-84AF-BF071EA2F0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4C231E-1E66-4C28-B8A2-CBC2CC23969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41EE7C-ADC1-4E26-BD91-EAC72DED802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631265-D853-4911-9DFA-4213FB2371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0F3B1D-2F04-4DC6-A93D-BA75A183DF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1E992B-B788-4163-B37E-A07F8F0CA1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380011-1CF0-4C05-90D6-85484DAAC9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3D2C48-259C-4149-86AF-21089E108F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3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C72106-7202-4375-82E6-589AC6B2D0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D2240F-A0CB-4B6C-B59B-8CE480FE54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3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9C1149-6716-492A-9E8A-5BE3DBA412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4FBEEC-6F32-423B-A106-D67266638A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15D398-2FD3-43CD-B562-F62E3C9314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3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78C6B7-B57B-4A58-86F0-2EAA9525C0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0ECDAD-5043-4FAE-A3BD-67D48CD68C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3F3740-D797-4FB7-97BE-F8BAB6C7D0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3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65EF77-C668-40E9-80FD-0417965E04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83D39F-F03C-40BB-9D5F-8067853F61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618D03-B0A0-40AB-B7BE-342CD83D5B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3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15FBA9-149B-47C5-9539-BE9E639028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3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A9F65D-90CB-4768-996F-FF48612857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3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262A35-6CCB-4583-AE04-E4D9669319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3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D81C77-67E4-4CF3-BC13-2C1C9548CD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3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2C81A5-3232-44C5-9292-B3D529B4C4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3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C3AC37-C51E-44D1-93F3-29E5B54440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3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CA9C9E-CAFC-4150-BF09-F27179E252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3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A537BC-1881-482A-9C5D-9B5C1572EA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3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CE9C11-D26D-41A0-A90B-F74B1A73BA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3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6A5649-4389-435E-B730-EC0A8ED4CA2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3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9C76EE-68E9-4389-9EAC-8A624DC28FE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3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E70BBF-D0C0-407B-998E-0E028722AE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3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AB6321-44C4-4DB9-850E-AEB39B3999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3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2757E1-C0B5-476B-AEF1-24C64E9500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3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EF4005-3E6F-4645-A8B5-A9DE07876E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3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C72647-AB4D-42CD-9F75-28A7D764183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3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47C803-CB53-4D81-8AEB-08E2061CE8C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7EED12-0A76-4231-93C3-BCDD7C6CF4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F10D52-0190-4B86-B335-036838F8FA2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3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39AADB-23E9-426D-9C01-C52112E64B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B2CDE0-3AC7-44C0-8AC9-95CDF94C29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95A9A8-21A8-4EB4-9C92-3DA96C41AB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3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EC4214-A4CF-420C-82C6-62B9136255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3E48E4-31FB-4FBC-8CD7-7FE433B853C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3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687746-0D66-4965-BC61-15F46822C7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3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2C9087-0C23-4A81-B51A-36548BC02B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3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E4A8D8-B94A-4B56-BD26-841889C79D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3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F549FC-9347-49DB-B98D-91D6DF5454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3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FF050-7D66-4781-B0C6-C9916B01F0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3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3FBD03-9B6D-4BDF-995A-1511C551B5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4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6F6660-46FD-47A8-8C76-6BD95049D3F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4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32F11D-3420-458B-8203-571AAA461A5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4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664884-E36C-4489-820A-4E053F7DDF4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4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DB897B-A74F-4DA3-BA93-B8D886ED76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4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7FA0AB-FBF1-4076-B9D5-1BCECB17B4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4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D7589B-157C-4131-BA51-0C5867273E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4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71F1BB-7DCF-4D9C-807D-E7A81B6AEF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4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4E9CAB-8026-40A8-878B-9A544AFFF5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4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423150-0BCB-4A28-85A4-65FDCAB0C7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4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8AD7A9-8C31-40E5-8620-09A066DD8D0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4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6FA29A-ADC3-412A-A14B-5F957FE2DF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4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970AB9-D7D8-47D5-B3E7-71CF8DC99F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3E6BD7-E8FF-4904-AF11-F7B4758DA7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85A977-D660-43AA-8BEB-687B66D815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4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4B474B-4A08-4BC8-8656-F5563E2F7A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FBD0C7-38C2-425D-88C0-4107D8F3D9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D750ED-EE0F-4368-92D9-BF6A8C4A00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4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C580CA-9FDB-4613-B3F6-500B164CC10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037995-A71F-403D-9EDE-B5F6DC2D315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3BF410-C0B7-4BD2-98AD-EFF0386F2BA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4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724000-232A-4A41-AB26-5C5570237A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4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0CEF5B-33B4-4988-9AF3-D72DDF67BD5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4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B0C0FA-A155-458A-A505-5F0DFC69C5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4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98309A-9708-42AE-8D00-63F1134FE2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4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EC75C4-DAF2-4CC2-9CCF-1E463EC013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4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51289B-613D-4C80-B634-FB212C9F82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4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87D6F4-D64B-4555-A632-78BB5C7BA1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935BD5-8150-40E0-8E94-C59FAB2A4A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FD1AA4-025A-43F4-8CCF-070DFC597D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23EF5-BA8A-4575-B05B-BFABCBE111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5259A8-A9F7-45F6-AA3D-936796A3A8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93A58E-08F1-4927-9B0F-B07592C6B6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A034F7-35F5-43DC-BDDE-A232B50B9D4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F9F3B0-40B3-4C3F-95A8-9AC36F45CE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8CF9E6-F962-4975-A371-A713C50B2D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4E2FD3-BBEE-45C8-B74A-6F990A0D847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3E6BDB-50BF-442A-9C7F-183D1D5F81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531F3B-FEFA-46B2-8486-59326FBEDE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63C6D0-B77B-44B6-B6AE-797E1A35BF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4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DF65E4-2934-4E76-B1F5-2149B8451B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7B63D0-C722-43C4-B203-FD5A0082BC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B6129B-9797-420F-AB7E-1209D0A01E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4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03D924-9EEA-4D82-8E6C-3C9C3B8375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14C491-B618-46CB-96CF-39EB8067AD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4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C05B32-6372-4650-9071-E44D9DDDE6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4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E616BC-AB3B-4562-9DB7-23772EBD54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4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52D496-EAA0-4871-A8C6-5ED37A31AC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4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7AB5F7-114B-4700-9D00-FC2B7CD73C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4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E9F239-C514-44E0-A7D6-66ECD6556DC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4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043035-DC3A-4C08-B146-B7EE6BD690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4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DE86DA-CED8-4568-897F-8329C4ABF9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4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1A128-A925-4074-933A-F651F9BF3F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BA9276-C9CB-4F93-9F7C-5A828D786C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2A5867-D094-4D41-901D-6E24283548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63B2BC-B604-4E25-A1E7-D01B5A586D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99EE35-BF78-4955-BB51-817BA85D4E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8DB40A-20AB-4975-B6DC-6365E79032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9149FE-68B1-48AF-9DA8-4D1C00AAD2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FDA175-A11D-4CA5-9400-B334F23BAB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4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7C821B-3C69-4169-9F5C-60F777AE78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12038D-1BAB-491C-B2DD-FEB78044AC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4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A1AFFE-14D6-440D-BE82-1B1806260A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43F6E3-6F39-4E11-B075-6D97B5AB32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1ADF6F-B91A-44E1-84DC-5C3C490EA3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4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F622CB-23C9-48A2-A8E4-88B32EEF1A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A2A3CC-6B40-484C-985D-5A17F728B7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2BAED8-FDEC-4EC8-A92D-909B3396DF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4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45AF70-4C6D-4A70-8661-F4661026031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5761F5-3030-4FE9-ABA4-E2AB8AB51B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3AB32E-2040-42E1-95C8-CAE4CC2827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4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ADCD57-EB8E-40AA-B160-A55651360F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4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4FB83D-D5CC-44E4-ABF3-4D5C06458C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4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7231F8-4AEF-480D-BF45-6D55A06B24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4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3CFF9B-EF6F-4405-835F-23339B7E4A9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4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835371-24AF-4A8B-A0DD-7BF91E81B5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4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90DC80-648C-4D7A-9977-D35A8C03D85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4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E7D86A-6D7D-4EF8-80F4-F239244005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4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3F4375-531D-43EB-A894-3AAC054395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4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159C64-BDEC-481B-AA5C-5BDA568AED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4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9EE017-54A3-4586-A75D-D5B3121172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4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DB218-6391-4D85-9E40-A7B1B7E17B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4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4D3396-A850-40E9-A6CD-99B8ECD24F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4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26CE7E-6940-49D4-8FE9-29AC88B6E1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4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BAC3-F6FF-4E03-B5F5-6C83B4DCB1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4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82E3F3-FBFB-4D20-BA23-FDC5D7F2F4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4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FB4DB-508D-4FF1-92EA-B6A1A5D546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4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C4E705-5B59-4E41-8384-8C583A3C78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0D52D7-AAF6-4B4E-8A3F-F189A04478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FC7E06-0F8D-470B-82DB-25AB8D12D1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4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61D97D-7570-48AD-A239-6BCB7FF401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946FA7-1FFA-42D3-B280-4360D25E4C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E7F5DD-72E2-4E03-9415-99036CF6FD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4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E660B3-984E-4B39-98D1-F14C4D9A38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400C6F-B764-4B52-9FD2-6C6B981BCC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80176</xdr:rowOff>
    </xdr:to>
    <xdr:sp macro="" textlink="">
      <xdr:nvSpPr>
        <xdr:cNvPr id="4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03EF07-A286-414A-BA57-912D826E43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81909</xdr:rowOff>
    </xdr:to>
    <xdr:sp macro="" textlink="">
      <xdr:nvSpPr>
        <xdr:cNvPr id="4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2E0D9B-A4D9-405D-B303-07CC8E79FC0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4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BF748C-212E-474E-A09F-B4A8A291FAC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75082</xdr:rowOff>
    </xdr:to>
    <xdr:sp macro="" textlink="">
      <xdr:nvSpPr>
        <xdr:cNvPr id="4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4CCC02-7C69-4741-AA19-880F83B704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4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2957FD-0120-4337-BAA9-E6F24478BD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77323</xdr:rowOff>
    </xdr:to>
    <xdr:sp macro="" textlink="">
      <xdr:nvSpPr>
        <xdr:cNvPr id="4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ED5D6F-6DB6-482F-9A0A-FDCFEE2632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5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B40A0A-932C-464D-86EE-69F8F81BC2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71722</xdr:rowOff>
    </xdr:to>
    <xdr:sp macro="" textlink="">
      <xdr:nvSpPr>
        <xdr:cNvPr id="5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394129-A11B-4822-AAFF-88DAD288A6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5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70848E-52DD-43A8-A388-286E136041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5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9DED5E-B96B-4B3C-AA66-43AB9E8C83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5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491DCA-86DA-44D9-80B5-2262FC0D28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5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FAF6D6-F62F-4C3C-9538-B613DD7F0D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5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0B6FE1-EA62-44E3-ADEC-DC64176EDF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5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AB3D75-63F1-4AB1-BDF9-CB37F63B9A2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5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9AFBF-4B3A-468B-BA43-8E02C953F2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88633</xdr:rowOff>
    </xdr:to>
    <xdr:sp macro="" textlink="">
      <xdr:nvSpPr>
        <xdr:cNvPr id="5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D57EEB-B60C-4667-B376-9B905F4A565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5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D57851-F344-48FC-A5FF-876AB59321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78446</xdr:rowOff>
    </xdr:to>
    <xdr:sp macro="" textlink="">
      <xdr:nvSpPr>
        <xdr:cNvPr id="5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3BE9D3-FBCE-41FE-8774-DDA18C1AD0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8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692C6B-4286-4A8A-B312-9485C9B5B7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038079-EEEA-4739-9FD4-2D4B11CDA2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5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2E92D0-2B18-4099-BAD5-465FD4F5AE4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DB3348-A224-4B67-92D8-A3E4564A42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F2E52F-EBEF-4A05-8509-5DEB46FD5E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5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B6E7C8-CA88-4580-A670-1805BA72438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29FB0F-C54D-4E3E-A1F5-EBADBDAF55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BEE7AC-28A4-4ED9-B628-B8A332A9AE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5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EA9BC6-41E1-487F-85AC-65CD4F7570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5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4A9A8F-2E68-41E3-BE1E-8901AC2178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5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C09E3E-0794-4BBF-A15D-73C4A32756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5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D210A0-7D85-4F89-87E6-B87C8A323D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5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396ED6-772A-482E-B587-F13AFBF7ED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5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DC65A9-B204-48F7-BAA5-C813ABA977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5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9966C6-D363-4431-B4CF-0EBC22EFC8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EDEEED-2FFB-406B-B5FC-D21C670890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C732DA-0548-4E1E-9492-07583358A81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7395EC-EF95-403B-94D2-89CFF25072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D2DFAA-02D1-4453-AD71-6C59F946FE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9429CD-B423-4136-86C7-535803C55D6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3A1B17-AF33-45A2-8AE9-3860D0770B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77C4F5-F5A1-4F1C-82FA-A2FCD87A62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DF779F-EB3B-4316-B815-2FB793FD7B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330C23-C64A-427A-8ABC-D9E3D59CFA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3DBCB1-2256-4FF9-8A07-E648EE5EA5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8DCE5-9FDA-40AD-AE5F-8CAAA7E975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1DD777-221F-4A1B-B6F9-6A928CAF9A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5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2936A5-ACC3-4D12-AE39-0EAF531F61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BFFFD6-F6B1-439C-B602-53E8332B71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37897F-CF4B-43D4-A6DE-F205296EA3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5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6569F59-43DB-4E3A-8B67-C4EED1B3DDD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DE6498-5561-41C4-B798-0E158D7E3A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89701</xdr:rowOff>
    </xdr:to>
    <xdr:sp macro="" textlink="">
      <xdr:nvSpPr>
        <xdr:cNvPr id="5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F3F04F-3C1B-42ED-B041-BFBEE0D3CD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91434</xdr:rowOff>
    </xdr:to>
    <xdr:sp macro="" textlink="">
      <xdr:nvSpPr>
        <xdr:cNvPr id="5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B0CD27-7EE9-487D-924A-F430F62DAD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5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2A7697-AD6E-4BAE-9811-29C796606D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84607</xdr:rowOff>
    </xdr:to>
    <xdr:sp macro="" textlink="">
      <xdr:nvSpPr>
        <xdr:cNvPr id="5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2D39FB-E3FC-4D4D-B093-C57CE387D5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5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C27AA0-5D1B-4047-86CF-FB34228DC4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86848</xdr:rowOff>
    </xdr:to>
    <xdr:sp macro="" textlink="">
      <xdr:nvSpPr>
        <xdr:cNvPr id="5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47C219-B107-4BCF-BFBF-B83356BC0E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5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CCB994-18E7-45D3-88B6-7B0A7AA789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81247</xdr:rowOff>
    </xdr:to>
    <xdr:sp macro="" textlink="">
      <xdr:nvSpPr>
        <xdr:cNvPr id="5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AF789B-C2D6-4B98-841E-B7524509C3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0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0368D6-D146-486F-B04D-B00F71252D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AE1CF1-B1C7-4C13-8690-5D0E54374F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168A74-92F5-4C07-84B7-598584237A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7D7610-69E7-44A8-816E-24066BEBCF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3C22E5-D70D-4027-A9A5-D3DEB609B8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073260-1D14-4E2D-9109-5E25314376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3044F6-CA71-4D82-9CB5-F6D6B5E2428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98158</xdr:rowOff>
    </xdr:to>
    <xdr:sp macro="" textlink="">
      <xdr:nvSpPr>
        <xdr:cNvPr id="5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9E2CA5-52EC-45CF-A5E8-94A2CBAB2E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3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977FE6-443E-4676-99C9-6C73D379F9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26</xdr:row>
      <xdr:rowOff>87971</xdr:rowOff>
    </xdr:to>
    <xdr:sp macro="" textlink="">
      <xdr:nvSpPr>
        <xdr:cNvPr id="5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CEAFB1-5FD1-4A6E-802B-D8823A96AF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1938275"/>
          <a:ext cx="304800" cy="297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6192D3-EB59-4540-9A27-5D108B3FBB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39402B-FBB0-46CD-8097-8858152A578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5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AC3E2B-D8FF-4560-B051-590A732F96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1E2D2D-971F-4D3A-8A70-CF8D55B1E9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E8A260-B116-47C1-B63C-A2497B8823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5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5E1E4-7998-4279-9E6C-32961B94B6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B0E926-0E0F-47DE-BF74-267C3FCDC8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7A35C1-792E-4416-9528-D78E2B1011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5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594FE8-1C32-4D3D-9150-60382771AD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5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7A0437-7915-4AC7-98BD-0D2B27BA25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5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17AE30-619C-4F9B-83F9-A2B9E9D59D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5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55DDD8-66FE-4A65-9040-5F304E9416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5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EE0644-1BE9-4C6F-A791-7CD14CD8218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5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75DAE5-53AB-4C77-BE2D-24DF13189F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5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E06FB0-39FC-47CC-BB11-680A8A4BF3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5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9DD287-B4CA-4CAD-8C51-ABA9620699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5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EDB458-CC54-4562-97D3-6A4E3EA0D7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5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1E94B7-D6B1-4ED3-83CE-B264A0513D4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5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87EEB9-9CBA-43AB-933B-48B3736DA4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5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469C2F-C7EC-45F5-A65F-2CF3978FA5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5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D7C09C-2B1D-4DCD-BE30-819B0EF01F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5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9F22A5-DEB4-4EC0-8BA4-FACDEB4614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5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33E97B-AF0F-4A29-80DA-2EE128CDE0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5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BA7402-0086-49DA-BAB6-32740EBA0B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5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229465-43D0-4BA6-998F-0027DB9473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91142F-6F7B-4952-AA35-6AABE72BE5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0353FD-A2DB-41B5-8CEA-4F9A113EE7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5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1F6D17-39EC-4B59-AA1A-97F9EEA6E1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75FB0D-A351-435F-BBA8-972E441456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3EE992-E8C1-446C-BBBA-FFBAE3CD7E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5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6DB266-753D-4195-8F75-4F6AE389A82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3E0791-B637-4F69-B3FC-4DB79A3C90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80175</xdr:rowOff>
    </xdr:to>
    <xdr:sp macro="" textlink="">
      <xdr:nvSpPr>
        <xdr:cNvPr id="5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FFA3E3-D2AB-4DE3-98EA-D5432382DD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81908</xdr:rowOff>
    </xdr:to>
    <xdr:sp macro="" textlink="">
      <xdr:nvSpPr>
        <xdr:cNvPr id="5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B3EF9B-6516-48CF-938B-50CF238E5E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5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969ADA-FE33-487C-8B4C-F880C18F74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75081</xdr:rowOff>
    </xdr:to>
    <xdr:sp macro="" textlink="">
      <xdr:nvSpPr>
        <xdr:cNvPr id="5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91519E-E8DC-404C-B372-DC545870EC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5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2C807D-ADDB-4930-A8DC-22D1F0B6DE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77322</xdr:rowOff>
    </xdr:to>
    <xdr:sp macro="" textlink="">
      <xdr:nvSpPr>
        <xdr:cNvPr id="5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7A17D1-CDE9-4B7C-9BB7-E4C07733F4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6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B6E8D3-7980-453D-BA8C-7822BB6F45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71721</xdr:rowOff>
    </xdr:to>
    <xdr:sp macro="" textlink="">
      <xdr:nvSpPr>
        <xdr:cNvPr id="6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EFFFC6-6AC6-4D86-A3F6-D25538D411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6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CB403-5D16-43F0-8186-19399118BD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6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524326-FC73-45E3-B26B-0B536B8679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6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9619E2-D12A-447E-8373-99944CC040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6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5786A7-8A4F-4318-8EAD-5B99A7A91A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6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627ADC-73DF-425E-9943-4CC957F626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6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F1D6BF-F89F-449C-AB47-84FC731BC6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6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429E22-80A4-4A5A-AD84-1BFAB8DD37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88632</xdr:rowOff>
    </xdr:to>
    <xdr:sp macro="" textlink="">
      <xdr:nvSpPr>
        <xdr:cNvPr id="6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F2BD54-B8FC-4202-B659-9206AAB0C0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6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32CECD-D567-4DC8-A52F-29724EC6F1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78445</xdr:rowOff>
    </xdr:to>
    <xdr:sp macro="" textlink="">
      <xdr:nvSpPr>
        <xdr:cNvPr id="6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E7E324-4181-429D-8886-1519E279CF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2F7021-8A11-49D0-8065-29C444EE99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1C3361-4998-4F73-BAF8-0648098A02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6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5BEB12-AE14-42DE-88A6-5D4897566A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15DDA8-81EB-4666-82DA-92366253F5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C72A23-5284-4C86-A256-FE171BDFBA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6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0C609E-AE7C-4E3E-9000-60C6E0426D2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D51B02-1CFE-417B-BF00-C8D2DD805C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A77636-61B3-45E1-9CFF-57D06A32F1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6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C47BEC-AE6E-43F6-847A-CAA15DC6DA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6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705AC5-8368-49E6-ABCA-5A88A6F8BE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6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9790FD-16C1-4541-8B75-41003D4395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6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6ADD4E-AC39-447B-97ED-A73ABE004C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6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8CFD04-B739-4A36-A5F6-B5E806A7BC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6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7D1FA5-5DB7-4E77-B646-4EE4EBF00F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6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779F26-C413-4847-B67B-0FDE1C094C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B6BF9B-B738-4D5A-9B0A-5E2AB1861F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766C56-1700-4B24-AA6F-CD50213015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A64CDA-2DD4-4725-86B2-53850AF938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CC4E53-9300-4A99-B85E-3273CE0CFE4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6CE1F8-3CC9-4B92-8B9D-43776FBE55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D6A1CD-5809-4A3F-B676-33EEB8ABD2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F5EAD6-96FA-481E-B43F-9C6C362F0B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E48ABD-4AA3-44F2-A680-2FC0D9F24F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982782-3ED3-45EE-993B-43DFE5BDAA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EB0573-EBA0-4348-8609-A2E8B63767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E0B1F8-E497-47B9-B462-8A4113C908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7AA5E6-43C2-4315-BBFA-FD1C9DDEFB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6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915107-80D9-4651-816A-7325A4585C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E55F34-C1A6-49EA-AE10-2E104F6CD8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F55586-99A3-47FA-BEFC-83292506CD5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6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152FCA-9F65-4D00-A013-2C375E2D6A4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BBCDCD-0157-432B-B2B8-97D598825E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189173-28BC-49EB-80F1-CB3A858B3C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6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4E6F70-9A03-4D12-A477-647F28E96E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6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32A795-B621-402D-BD63-8A254E3BCF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6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549397-701F-4E3E-9A2C-39248648FE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6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1CBEAC-0723-4E25-9831-6B31B2BA53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6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609C66-29C8-4263-817D-8C789B14F5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6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1878FE-F8B0-4569-8D2A-FA7EEE489CA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6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902734-A53C-4A27-9C09-B37F4D3EDDF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9C9B27-1877-4072-87C2-5B229E4051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204257-6313-43CC-9D20-A63E31229E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F3FC7F-C2A5-4E52-92B1-5B1AD9FFC3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836E1B-9DE6-4F2E-A058-91C9BE8A1F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EC0298-3FA4-4F30-ACB1-E5CD7EFB21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F132A5-057F-45E5-BBCA-A04EF19B56F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577589-E6AA-4071-9C48-B841923518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6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E37F1A-EDE2-48D1-91DE-B4DB4304AC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38C241-8E5E-4C8B-AF40-ABFAB93EB8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6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79B8FD-039D-421A-967A-323183BFCC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6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9AE4DB-8FD3-4233-90F4-FDC5C6D758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66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FE6328-191C-4ABA-B1D9-BBC0127D90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6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74D441-AF83-4BEA-96D9-98A4162F11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66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AFC73F-1662-4A38-B0CC-D25E8567EE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A52E39-0594-439F-AB70-BFBCDEA637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6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4B2C6F-E599-4B8D-90E3-6ABF1F4694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7CDC55-E615-44CE-8825-16C582680D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89702</xdr:rowOff>
    </xdr:to>
    <xdr:sp macro="" textlink="">
      <xdr:nvSpPr>
        <xdr:cNvPr id="6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068EAD-C477-44F7-BD5F-0BC8D6E894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C5462A-B877-4911-BDC0-2B8EB152F9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6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009F94-3075-481F-8B24-48B673DA18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3E04AA-6B38-45F9-988A-3A9EDBF65E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6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8A8FEE-4E1D-4186-846A-F4134DAC2C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67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AFAC11-B9E2-4755-A802-E7B71E7E08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6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309969-3A5C-409B-ADF1-0E2009F09B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67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48D276-EE34-4F6B-B60E-C10A008100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4223FD-82A8-42F9-AD7E-ED4FC60628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6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53963E-1834-4028-B07A-07157EB658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B96471-C855-4673-BC55-3CC090B1659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89702</xdr:rowOff>
    </xdr:to>
    <xdr:sp macro="" textlink="">
      <xdr:nvSpPr>
        <xdr:cNvPr id="6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AC98F5-9171-485B-9DB0-06DDA3FC08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0FF21D-3A97-428F-AAC4-A8DD5C0943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6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380A3A-232C-46CD-870D-9B790255C8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24F339-DC48-488C-8F79-C1842AD0D1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6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3026DB-5D44-4CA0-87D9-18DA9D8C31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68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4CD741-8FF7-4D9E-80C8-5654423416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6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1E7F5B-471B-4FCA-9F69-E71DA1C5BEF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6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987811-0E4E-49AF-BF1F-E6F985DECB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BC1D31-4D20-4533-937F-FA1170CA4A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68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90C673-810E-440F-B8AA-E521CB51BB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0B19C1-28DF-4114-A302-BD938475B3E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89702</xdr:rowOff>
    </xdr:to>
    <xdr:sp macro="" textlink="">
      <xdr:nvSpPr>
        <xdr:cNvPr id="6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5222B4-8E83-4B33-87AC-FB363394E5C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4AFE10-2900-4355-B848-88A746AD7F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6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C53286-4575-4FBD-8BAB-2B206E1F7F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6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47CB95-8BB6-42D7-869F-D1E6D22182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86288</xdr:rowOff>
    </xdr:to>
    <xdr:sp macro="" textlink="">
      <xdr:nvSpPr>
        <xdr:cNvPr id="6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2F37EC-7F54-4AC7-9B04-21815FA382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86285</xdr:rowOff>
    </xdr:to>
    <xdr:sp macro="" textlink="">
      <xdr:nvSpPr>
        <xdr:cNvPr id="69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504C25-655C-4215-A711-637BC02F70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86288</xdr:rowOff>
    </xdr:to>
    <xdr:sp macro="" textlink="">
      <xdr:nvSpPr>
        <xdr:cNvPr id="6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E7F9F5-9098-4896-A533-895BD3A455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86285</xdr:rowOff>
    </xdr:to>
    <xdr:sp macro="" textlink="">
      <xdr:nvSpPr>
        <xdr:cNvPr id="6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9BB591-8E6A-4C33-B510-96B70D26739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6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678500-8B46-4759-B11D-76B8B97615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0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FE2057-DB3D-4976-A217-BD0EDF0FB8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7E85BC-06BB-4A27-94F2-1B3DD0E153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84608</xdr:rowOff>
    </xdr:to>
    <xdr:sp macro="" textlink="">
      <xdr:nvSpPr>
        <xdr:cNvPr id="7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18BFB-BCA6-4FE1-BBB1-27AC0AA4F0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45565F-0ED9-4F74-8F4C-2ABCAD666F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B06673-D8FF-45FA-831B-2B26DC9F99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0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3CDE16-8E22-4EF6-A4C1-8FE20A156F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88528</xdr:rowOff>
    </xdr:to>
    <xdr:sp macro="" textlink="">
      <xdr:nvSpPr>
        <xdr:cNvPr id="7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A841BA-5691-42A7-8C11-EC74ADC18C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88527</xdr:rowOff>
    </xdr:to>
    <xdr:sp macro="" textlink="">
      <xdr:nvSpPr>
        <xdr:cNvPr id="7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772C10-8290-4148-B91D-124B3AB8B7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88528</xdr:rowOff>
    </xdr:to>
    <xdr:sp macro="" textlink="">
      <xdr:nvSpPr>
        <xdr:cNvPr id="7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30752B-86C3-4AF2-8CFF-B888177E2F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88527</xdr:rowOff>
    </xdr:to>
    <xdr:sp macro="" textlink="">
      <xdr:nvSpPr>
        <xdr:cNvPr id="7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808C2B-0474-4BC9-B6CB-65FFDBA7FE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2DED73-0E4A-49B8-B651-A44A3FAC14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75D0DE-D7E7-4FAA-9678-254AEA5AC4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CD6B8F-89DB-40FB-8D33-9E01AE3E13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84608</xdr:rowOff>
    </xdr:to>
    <xdr:sp macro="" textlink="">
      <xdr:nvSpPr>
        <xdr:cNvPr id="7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C99C71-CC2D-4629-B8F3-D15B2F26AF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032C5D-F724-4AF1-8888-B668348B42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1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FED8D0-A2FC-4892-A6B2-2F2178C38F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1B5563-69FD-4B85-B93F-B28C2567B6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7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07695F-5696-453F-86F9-D786921694F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7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6DAB66-6DF2-453D-9469-F530827EF1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7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A27226-B376-4FB7-83F5-3DB5E07C4C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7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8304E2-48FA-45AF-BF69-64DA266E37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8A1530-1E1A-4A31-AB5F-ADEF1EFAC6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7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412271-A1B9-44AE-915C-259CA0B077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85766D-0287-4984-B206-3EA85FD3E0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89702</xdr:rowOff>
    </xdr:to>
    <xdr:sp macro="" textlink="">
      <xdr:nvSpPr>
        <xdr:cNvPr id="7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5F25DD-7C18-432B-A241-1BA07190C0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3F0D7C-C651-41D3-A262-4CEE9F014C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72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F20587-935F-4038-8335-057D6D8191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8B8AAB-DB99-4A82-B91F-0DF7FD3008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7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1995B-95BF-4FA2-959A-CEF5B8F638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7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9C88DF-11ED-4560-9543-02AB86CA6B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7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901572-1817-4818-A51F-3F9F8FCFF6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7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B3911B-A07D-4E8E-8823-6010131439A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8F78B3-24ED-4CBC-8F0D-D53E92A28B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7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5EB3DC-9960-4AD6-899E-723962EAB1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E0A867-820F-4045-BE8C-33348FB549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89702</xdr:rowOff>
    </xdr:to>
    <xdr:sp macro="" textlink="">
      <xdr:nvSpPr>
        <xdr:cNvPr id="7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F7BE4E-2225-4318-8E16-1B1EF06549C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BFC142-5635-4C89-A056-80DE8EA4AA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73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38C8AE-3680-4798-A26E-EC6AFD5FE8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FF6B0A-7D05-4A27-A660-32E665F696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7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FC605A-48E7-4743-BE62-B0FE199057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7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1E9365-2483-401C-A06E-ED4A4F63A72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91382</xdr:rowOff>
    </xdr:to>
    <xdr:sp macro="" textlink="">
      <xdr:nvSpPr>
        <xdr:cNvPr id="7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D6F84C-FC45-414B-8C2C-8FCA259DE2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91379</xdr:rowOff>
    </xdr:to>
    <xdr:sp macro="" textlink="">
      <xdr:nvSpPr>
        <xdr:cNvPr id="7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ADFECA-80F0-4C2C-BAC3-842498ADBD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00A8E7-ECB3-4B4C-A6EE-69F0DC0F32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7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D8CDC2-332A-409F-8DB0-5913469EAB9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D6F81B-8B06-4A71-98DA-834B9AB226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89702</xdr:rowOff>
    </xdr:to>
    <xdr:sp macro="" textlink="">
      <xdr:nvSpPr>
        <xdr:cNvPr id="7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B8C0F4-EE54-44DC-AE70-E9111E180D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0CB0CD-BBF9-4C03-9B22-42FD148F48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89698</xdr:rowOff>
    </xdr:to>
    <xdr:sp macro="" textlink="">
      <xdr:nvSpPr>
        <xdr:cNvPr id="7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2AFAD2-6DA8-4642-96EE-DBA6E28AC1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04D264-3625-40EF-8BBF-0DB2287458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86288</xdr:rowOff>
    </xdr:to>
    <xdr:sp macro="" textlink="">
      <xdr:nvSpPr>
        <xdr:cNvPr id="7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018E51-C170-4032-A21E-12F914ACCC5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86285</xdr:rowOff>
    </xdr:to>
    <xdr:sp macro="" textlink="">
      <xdr:nvSpPr>
        <xdr:cNvPr id="7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9247FF-C367-4734-B59F-EAC72C7190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86288</xdr:rowOff>
    </xdr:to>
    <xdr:sp macro="" textlink="">
      <xdr:nvSpPr>
        <xdr:cNvPr id="7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AB9684-7024-4DEB-81E2-31576EF003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86285</xdr:rowOff>
    </xdr:to>
    <xdr:sp macro="" textlink="">
      <xdr:nvSpPr>
        <xdr:cNvPr id="7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8FF20B-900B-4F37-A61C-AFB2FD288A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2767E2-8E66-401F-84A7-96F550081D2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5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F343CD-1AB8-4FA5-9EB4-76CF8D370CD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E70D21-6E41-40F3-A26D-4AA64EB9EC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84608</xdr:rowOff>
    </xdr:to>
    <xdr:sp macro="" textlink="">
      <xdr:nvSpPr>
        <xdr:cNvPr id="7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53523F-7305-4786-A191-E11B23EA66C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C34631-F76D-4CAD-BCD9-BED7529815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5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361150-D46D-456D-9FDB-09F9C69B49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CFDC11-AC9F-4538-BFDE-F2147FA37B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88528</xdr:rowOff>
    </xdr:to>
    <xdr:sp macro="" textlink="">
      <xdr:nvSpPr>
        <xdr:cNvPr id="7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BFAD3A-CADD-44F8-B3A7-2357C44EBD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88527</xdr:rowOff>
    </xdr:to>
    <xdr:sp macro="" textlink="">
      <xdr:nvSpPr>
        <xdr:cNvPr id="7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D1E8DD-B4AA-4135-9E20-7BA0119B54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88528</xdr:rowOff>
    </xdr:to>
    <xdr:sp macro="" textlink="">
      <xdr:nvSpPr>
        <xdr:cNvPr id="7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374C2D-31A6-411D-A055-2A249C8FC2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88527</xdr:rowOff>
    </xdr:to>
    <xdr:sp macro="" textlink="">
      <xdr:nvSpPr>
        <xdr:cNvPr id="7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39AD23-CA57-4926-9BC1-1DAABD6A51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F1E289-2AD5-437A-A92F-1C13E119EE4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6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2121C9-A774-41B0-B5FB-A1FE2F580E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908AA2-C4DA-4DF3-AFDC-1CEE48A124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84608</xdr:rowOff>
    </xdr:to>
    <xdr:sp macro="" textlink="">
      <xdr:nvSpPr>
        <xdr:cNvPr id="7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D212D1-01D2-45BD-8236-BCF23918D2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B5A77A-46AD-4CF1-8CF3-CECBAAF25D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84604</xdr:rowOff>
    </xdr:to>
    <xdr:sp macro="" textlink="">
      <xdr:nvSpPr>
        <xdr:cNvPr id="77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BACAB3-93C7-4DA1-83BA-C1D2DEF177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84607</xdr:rowOff>
    </xdr:to>
    <xdr:sp macro="" textlink="">
      <xdr:nvSpPr>
        <xdr:cNvPr id="7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FBD593-2DD4-4EAC-843C-96A7205ABF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9D62AD-B6D1-4146-970F-0B99659A17E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934CAE-CE12-420C-B138-603893F98D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7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C2F885-E1C5-419E-8EE9-6E7BCCC027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5823FB-4BDA-4D45-99AE-DAC875B61F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07659-927C-41B6-AD84-59F709576B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7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D01AD3-D151-4ACB-96B5-D89D8D5E4B5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3AA743-0047-4E95-AECA-2DD5401907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DCFBFD-F433-413A-9EA5-8CC24B525F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7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D6B43F-E977-4CC7-A1B0-69ED2107C4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7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35A21E-3D4C-4B4F-8146-5B90D560E1C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7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FE4DDD-BFBC-4D76-B384-576D5E54DA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7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A74268-102E-4FBD-94B3-F20F5D7C133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7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E64814-A0A1-4DCD-9DF1-B15609210A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7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E88E8C-66AE-4E6B-B12E-37549CCC5E7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7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466EB5-F386-4EB8-B02C-AD9BC1BBF7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7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44A87C-B91E-4D06-A515-E4E089DC85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7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77F153-96F8-4540-ADBE-E58327E87B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7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0DC11E-5CBB-4658-9FA1-0FA2DEC3F7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7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4B352F-2E87-429F-98F6-245957981B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7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D779AD-E225-4DF8-953E-D634AA882F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7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54934A-F83C-4322-ADF3-4CE826B219F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7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1D1B25-BA09-4711-B87F-375F80D0FC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7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385AD9-D7FC-4DC5-85EA-AE5326B6A08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7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0E692C-9041-4C85-B141-4987E1E5D0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7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E7DEC4-EDB6-43BA-AD54-91CF9AAC196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833F76-69B3-4ED2-8C09-AFBB890690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7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67D843-9500-44C7-8A2F-B748BB8AA47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7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3AEA2E-64CB-4C78-9BBC-556534FBC7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8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2CFCA7-F187-4B5D-86E9-C675A2DF47F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8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01786F-CD9D-4EE1-AD21-85482C8FF8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8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DBA96C-D928-4EDD-8892-0A2A22FE43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8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307796-4BA9-4198-8152-1FE348B8F6C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89700</xdr:rowOff>
    </xdr:to>
    <xdr:sp macro="" textlink="">
      <xdr:nvSpPr>
        <xdr:cNvPr id="8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CA4FA3-C04A-49CD-84EE-C8472C1A6F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91433</xdr:rowOff>
    </xdr:to>
    <xdr:sp macro="" textlink="">
      <xdr:nvSpPr>
        <xdr:cNvPr id="8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36FFE1-52A4-4FAA-A5BF-721456483C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8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5E1074-6D3D-48C9-A6D2-F56B9290EC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84606</xdr:rowOff>
    </xdr:to>
    <xdr:sp macro="" textlink="">
      <xdr:nvSpPr>
        <xdr:cNvPr id="8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AF1B9E-8347-4FD0-BF6D-88FF358FC0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8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CE6DF3-BD53-4EAE-9D74-B1A70F554F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86847</xdr:rowOff>
    </xdr:to>
    <xdr:sp macro="" textlink="">
      <xdr:nvSpPr>
        <xdr:cNvPr id="8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30B24F-87C9-4CCC-A0A4-879397484A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8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83513F-428D-44E3-B7B4-230DF5149B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81246</xdr:rowOff>
    </xdr:to>
    <xdr:sp macro="" textlink="">
      <xdr:nvSpPr>
        <xdr:cNvPr id="8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762AEB-E5D5-4829-B219-E1FFF3D64F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8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C39338-D55D-4989-A482-675415A74D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8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3B0503-2CDD-4921-8D92-84FDCE0320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8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7DA8E9-1B38-4944-8431-D0EDB19F52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8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EE7BB4-979D-4F45-B599-3F808C31E5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8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E629B7-B0CA-4CD0-B62A-C0BFA040AC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8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AF2E58-D748-4BE0-AB4F-F4469DD134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8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07CF8D-FD89-459C-B148-44F37A97A5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98157</xdr:rowOff>
    </xdr:to>
    <xdr:sp macro="" textlink="">
      <xdr:nvSpPr>
        <xdr:cNvPr id="8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4076CD-B507-41A2-A029-E391652599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8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5D0F88-CDA4-46C8-B8F1-5E114B91C1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304800</xdr:colOff>
      <xdr:row>18</xdr:row>
      <xdr:rowOff>87970</xdr:rowOff>
    </xdr:to>
    <xdr:sp macro="" textlink="">
      <xdr:nvSpPr>
        <xdr:cNvPr id="8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431512-437E-48F0-994E-FA5FD51D6D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19026187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578977-27F6-4328-BEB8-6FF5B304BAB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39F600-30C6-4CA2-9E8B-58FE2A0ABCA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8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B127CC-9472-45A3-BACB-16018D1CCD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FC0447-6875-4764-9D9E-26D58C7573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DB719A-B52D-49E1-A6AC-DC46C9432A9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8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C88941-2D97-49D8-BF86-F5D19A05DD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CA0626-B6EF-4D5D-B707-E6649F896D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E1B1D4-7872-41EC-BE87-C51D5270D8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8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B62A21-B814-4C89-AC67-E546246C2EF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8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6450CD-23CA-4A37-848E-47D5271BB3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8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A55BE7-DAF8-4E19-9F32-711F010C82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8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85CA74-8B32-4ADF-B2D8-71AB6492022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8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3AF586-3B96-4495-9D10-F150CB447D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8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97176C-7E1C-4152-A176-6D82C6BCED3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8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A155B5-1F3D-4ABA-9686-5F2FB4891B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C2CAB5-A282-4980-B361-735E4E1702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433569-11F5-46A8-8D00-F8649CD36B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1C031F-9D1D-4214-8C6F-D14D3BB6A2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E345BD-C357-4226-8DEB-13206150DE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5CDF4E-D296-4C5E-9C95-DEDA6DC28A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F40AF9-C0E3-4C55-BC08-03B0586CF5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19C9DC-1D0E-46F8-8277-2E9600BD52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89D0B1-29FD-4A74-8B44-AEAFA9DCD32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16390C-3D73-458D-8B1F-7AFBF2C412D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B85DA1-9D44-4D56-BD63-69E9F7F564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873564-145D-4DF2-88E2-B7D8F9AA3B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9C974B-5A30-408B-8632-E6EE7922789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8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6D2A95-2814-41DA-8DC5-EC71DEF0145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5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BC5F69-8466-449A-8ACC-26B78874C8C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61263E-29E1-4FB7-8AD4-790C803497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8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58C645-558E-4F5F-B1B8-C30150D0B0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71B52D-74E6-4FBA-9473-51E3EF8A82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80174</xdr:rowOff>
    </xdr:to>
    <xdr:sp macro="" textlink="">
      <xdr:nvSpPr>
        <xdr:cNvPr id="8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D33595-EB90-444F-B751-46F317A68A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81907</xdr:rowOff>
    </xdr:to>
    <xdr:sp macro="" textlink="">
      <xdr:nvSpPr>
        <xdr:cNvPr id="8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221BE8-1893-47CB-84E8-37E563B183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8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1FE717-F098-4039-9240-7CBB63662E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75080</xdr:rowOff>
    </xdr:to>
    <xdr:sp macro="" textlink="">
      <xdr:nvSpPr>
        <xdr:cNvPr id="8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0C0922-02F9-437A-8B67-EF9EA8CF94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8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64A80B-1320-4C40-A01C-5A42D060790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77321</xdr:rowOff>
    </xdr:to>
    <xdr:sp macro="" textlink="">
      <xdr:nvSpPr>
        <xdr:cNvPr id="8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73AAB5-5997-4AB6-A8E0-1120116ADAD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8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6B4458-6EDA-40A9-98B9-64CD5E60C5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71720</xdr:rowOff>
    </xdr:to>
    <xdr:sp macro="" textlink="">
      <xdr:nvSpPr>
        <xdr:cNvPr id="8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11D17C-0C4C-42AA-8A62-5B1C2F0635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AEEE1A-D110-4231-9919-EBB149026A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7B9E58-FC7D-4014-B2CE-7B95F15BCC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6CE7F4-8055-4D61-AC7F-813718C28DE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F0E582-97CC-44E8-8B22-4978A571E90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37FD03-6A5C-429B-AB3D-AEFDD84ABA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3CB534-8FB7-4A40-BCCF-B7AE181741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06F34D-9FD7-4A7E-ADC7-F97FC1D639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88631</xdr:rowOff>
    </xdr:to>
    <xdr:sp macro="" textlink="">
      <xdr:nvSpPr>
        <xdr:cNvPr id="8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244CA5-5D61-4B1D-95E3-EC361378FB0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702095-5DC5-4362-B13B-2D79072EC3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78444</xdr:rowOff>
    </xdr:to>
    <xdr:sp macro="" textlink="">
      <xdr:nvSpPr>
        <xdr:cNvPr id="8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E8460D-8994-413F-9EF3-7E644273E0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F7C871-C520-4D56-B8B6-5C94C4FB7E7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2F9A95-BD42-4F31-B946-8F48E92A6F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8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C36FB7-8131-40C3-A4D2-675F76AD06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5A6D3F-BAF8-4678-B5F0-50937D6A92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6501BB-7AE7-4D84-816A-85713BF373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8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E106F3-435A-48B8-B1C3-821FD20F631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1D5826-3E3A-4B44-B9EA-F9AB8565F9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42887E-6A94-459B-AB5F-A622A1C7AD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8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B9FBB2-E1C4-4FC8-A01C-6DB58E1CF48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8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2C987B-DC1B-430E-8B46-37AC6D13FB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8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64316C-6C90-4885-A49F-4E6A9A905D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8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69F890-27EE-4DA0-884F-CB46DF6BD3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8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947145-885F-4B29-B2DD-0C0BA5AB6AD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8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E70B61-4DBF-4B7E-8C91-A825FD8A44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8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F4CF24-605B-438D-9300-BEB551E514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8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E19489-6062-48F9-ABE5-82FAB37C6D6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8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3DE81F-CBBB-4EA4-AF38-5EE10AEF8D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8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2ABEAC-AC5C-460B-807C-339C35794A8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8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67836F-C949-49CB-9018-EC65103ED1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8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586CB-109C-49F4-94C0-14CC933991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8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D7146C-9556-4B5B-A1A0-E03A2E9944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8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AB3983-8621-46FB-86B4-11FF43E4211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8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10CD38-1605-4A68-B151-E70DDADAB70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8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7A66BA-6BF4-43EC-952D-D1E389271B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8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933A69-567B-4DC9-BFDD-6DC21AEAFBC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84CEF8-C20F-4E2E-AA49-A57A24C300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8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71A565-CFBB-4D2C-AE72-4D0A4C628D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8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D4E60D-DE2F-4BC3-95D1-6F762AF740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F19B97-01D6-41E3-B5E3-C2FA8AC42C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1B03BD-13CE-46E3-8130-C44BB8B359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9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F47B0F-F9A4-42DD-88E3-98205107C8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0DE4AA-3BD3-4F5C-8BC0-13BE583651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FB59B9-8037-433C-849B-BAD09A07A5E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9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BDDF2A-BDFE-4CE1-BBA1-9DB197C502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9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D1CE91-2D3E-4EF5-881E-27DB24C194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9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2B450A-B31C-4A82-9B02-A90E04506E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9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CE032D-172D-46C4-A36E-CA9BF812CA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9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0F66E1-7FC4-413B-A54B-4EDDE94381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9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0D698B-5847-4221-A2D1-D99234ED17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9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63AAF3-2EC2-4283-88BD-451BDBFC0D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827F20-0A93-458C-A89A-B7F302E38D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63E486-8062-4DCE-80DD-D38AD6B21B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606DE6-6FC3-491B-8001-25727FD77A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9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4E52C6-B43A-43E6-95FD-7BBA15FF8B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9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9BA4D0-C64C-40F2-97AC-FD7511E4685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4CD98D-7688-4A8A-8C68-2589C6350F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02C1C3-5F50-4ED0-8C26-F8E2B1FB87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9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40D21-3B51-4766-A93C-CB11F7DDC90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9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DE5392-4033-4116-8FA2-6F28AE19D3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9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BB6A69-A130-4DD2-91C5-2FFB90779F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F8933F-7D4F-4398-A9D8-6E5055355A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2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A8B658-E179-426C-B367-EC43B02D06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8331B3-C2D5-4FFC-9DBE-6214C776DF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2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DFE985-FE54-4067-AF51-8D2252E64F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FBC68E-9BA1-49C2-ACA0-B8F4E8E8B6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4ACAF7-DA16-444E-8515-52F3B3EAC6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EF5E71-CE37-44E4-BC3C-CA4632D33A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9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29C89A-557E-4258-9843-B401FEBBBF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FB69DA-0C32-41E3-BBF1-ACC83FC56F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E4BD1F-39D9-486F-AB69-2A856B9D5A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246B71-C7A2-4434-81BF-D59956E3AA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800429-0369-4819-8173-1611E469D6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3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ABCC57-3125-4DBD-BA84-04A2457D55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5FED3-789F-4AC4-B75B-43B2AC675A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91716D-4BB5-4C83-A03C-61CEB7F842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1A633A-B82D-44E5-BD3D-BC75FE6D5E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CE63CC-CC58-43B7-9782-7F5A055CCE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9A347C-8877-4C84-A3AA-851C9785B1E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9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7758C5-1548-4D24-BD7C-084FD805BD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9B2016-BC2B-4B6E-8437-11371D6DA77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FF2F9F-2260-4650-806F-CA6184882B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50CEA6-94F3-45F9-B4C8-8303F6E3A9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21D630-98B6-4C9C-A558-3DC7B6B867E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4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2AA10D-E1BC-4AEB-903C-65F2F00776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1716F7-227C-474F-9D13-7A9E8ADA74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E23C48-CB34-445B-8553-E25B1CDB5F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61540E-FAC7-4C92-8002-553617FDAE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47438D-DF59-49AF-8BEC-8B7CC62B71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5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7F0A4C-2A01-4A36-98D6-ED28596660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9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276EA6-D831-4DFB-BF2E-65D578706E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AB6066-E7EF-42D8-B1E2-2DA4F643EDB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4D2FDC-FE04-441E-8FAD-39FF50F4E36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4B082-FB7C-4259-9B17-8361ED55EF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9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ADF00B-584E-4E36-9211-2842E862DC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95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BE5C11-0B96-4CEF-871B-8F15E996DFC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9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A9E5B8-459B-4A44-B51C-6E37634025E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9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42EEF5-E2AC-4BB5-B8EA-4B13CB94917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2A7DE8-5CDE-4C95-A09F-7BDC10D937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9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481EBB-40A1-4F51-8ED5-084F6BD14D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77DBED-D2A7-4931-9DE3-3595482FE8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9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5AEC3B-38E3-4424-A582-8A8963F7074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B1C6F4-9181-433F-AB09-70F2441390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9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7D4480-06BC-4A18-B13D-4427C47B5B2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7B3D06-BD39-4623-9142-77672B0196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9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C05BAC-EA28-4D32-BB17-8756924D54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9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FC68F1-3C47-4ADE-AEF5-05E0209FC2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9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03D5FF-B08C-478B-A098-BB0C7A43587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9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D9F597-5A17-4F34-95E5-32FDEBD0E8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29CE59-9299-4A10-932D-0D4219D147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9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88D007-9033-4827-A199-ADC05FDDE2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47AAB1-2EE3-4DD3-8999-4AADC3A2D0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9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41B2E6-7813-43F1-854C-06D53CFFFD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F85E33-73B8-4BEC-93A7-998AA49CD5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97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0693CF-2A24-45E6-8E8C-9B5C700C6C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9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0A3F12-CE51-4477-BF94-4A928FB0CE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F80F87-7820-44E2-AD0E-B093FEE9F5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67229E-A5C6-4BD4-9407-06BA217173C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9DB83-A0DE-4C4A-9A69-75900B605F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AF5ADD-EB9A-4C5E-95B6-EAD88646C1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BF504C-A06D-40B8-976A-10CE14ADD3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7825DD-2BAF-4A1C-8F4E-F6B6EE3113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AA8CF1-573B-4527-91C8-53B65AE7AF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9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058C7B-FF99-421D-82C9-BC766E8300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C0EEF3-BD6D-456B-A904-C99BD17C96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8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372B28-89A1-4012-8E3F-10E08640D2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8595B5-E46D-47FE-8C16-40CA204EEB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A9D4A5-7C9D-4EDC-A9D3-DEC5E0151D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8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F5074C-72D8-4418-991A-A551086EB6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CF1F36-AF93-4555-996A-E7D1B698CE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9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6B6103-749E-45E6-B3B2-DEB047A7FA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5827B3-F251-4596-884C-C977554EEB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E56DD0-97AA-442A-9E09-C424F700960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475C68-C5EC-467B-9DEB-2569D88831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9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65EAB4-D746-4DB7-AED2-3A1E258AB5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EBFBF1-1926-4949-80CE-4A1B957D1B5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99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81CA10-D1E6-4FFC-96E0-41DB15A99B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9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E5823A-4E0F-4647-841D-35978FA2F8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9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E6413E-76E9-43B1-8F2B-44A27B1028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00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828CA0-9F16-462F-B6D7-88790D332CD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91381</xdr:rowOff>
    </xdr:to>
    <xdr:sp macro="" textlink="">
      <xdr:nvSpPr>
        <xdr:cNvPr id="10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6F0DCC-ACB2-4687-998D-DCC55FA2B2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91378</xdr:rowOff>
    </xdr:to>
    <xdr:sp macro="" textlink="">
      <xdr:nvSpPr>
        <xdr:cNvPr id="10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6E0D46-2D99-447F-917A-C62B88F92B6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A7ED68-8B3A-428B-AC3F-35AE46837B7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0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AC7250-AB89-43CF-8096-C400254B50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0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24A252-7EEF-463F-8AAA-BBFFBDEE01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89701</xdr:rowOff>
    </xdr:to>
    <xdr:sp macro="" textlink="">
      <xdr:nvSpPr>
        <xdr:cNvPr id="10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95A87B-FBA2-42B6-96B3-062E61D688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39C0F6-E19A-492D-A86A-E76EB7D714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89697</xdr:rowOff>
    </xdr:to>
    <xdr:sp macro="" textlink="">
      <xdr:nvSpPr>
        <xdr:cNvPr id="100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EF6874-41A1-403A-8DCD-5759A96059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454BA3-9E35-4070-9886-2635128010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10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B5883F-4707-4F39-8366-A8A5E00B61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10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382EC7-9AE8-4AC9-B6EE-E8DE880862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86287</xdr:rowOff>
    </xdr:to>
    <xdr:sp macro="" textlink="">
      <xdr:nvSpPr>
        <xdr:cNvPr id="10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6004BE-A32E-485E-90A4-5F7F697C44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86284</xdr:rowOff>
    </xdr:to>
    <xdr:sp macro="" textlink="">
      <xdr:nvSpPr>
        <xdr:cNvPr id="10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A4A236-CA3A-4764-933C-9915B8F552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C2D15B-86C0-458C-812F-2DD5AA44FFB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01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CE818D-E327-4298-A5F0-E883D34420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59403A-9F41-4C17-8DB4-26CF40690B4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10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C67AB1-9180-4A48-A838-D177C977FD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7F8ED8-7F11-478B-8C78-0F339C17E3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01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0CC6B6-558A-42E5-902A-A8C6B882E6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EB85F6-A156-4C33-B9A5-F3EB3CCCB1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10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3CE6E0-302C-4E1F-818B-81AB4EC1A0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10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0724A7-DCE0-4E0D-AE7B-A0437A3927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88527</xdr:rowOff>
    </xdr:to>
    <xdr:sp macro="" textlink="">
      <xdr:nvSpPr>
        <xdr:cNvPr id="10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00856D-3443-4FA2-9E2E-DD160D6FC8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88526</xdr:rowOff>
    </xdr:to>
    <xdr:sp macro="" textlink="">
      <xdr:nvSpPr>
        <xdr:cNvPr id="10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0BEA64-EAE6-4792-8180-129F342AFA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4505CA-842E-408E-B9A6-0B43C3186F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02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CAAAC7-59E0-44B6-A1E9-9D9F9E9E82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AD103C-A6CA-4868-A2E8-6A183F084B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84607</xdr:rowOff>
    </xdr:to>
    <xdr:sp macro="" textlink="">
      <xdr:nvSpPr>
        <xdr:cNvPr id="10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A90D1A-D9BF-4E3C-A219-8DF5FB43F2D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A72AE1-9A72-4070-899F-6599058D38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84603</xdr:rowOff>
    </xdr:to>
    <xdr:sp macro="" textlink="">
      <xdr:nvSpPr>
        <xdr:cNvPr id="103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E598D2-B794-4D61-A1B5-E89A5827EC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84606</xdr:rowOff>
    </xdr:to>
    <xdr:sp macro="" textlink="">
      <xdr:nvSpPr>
        <xdr:cNvPr id="10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699846-32A5-4B1E-B0EB-87305C095F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25AAC9-0CC9-4715-B497-E738920F92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4EE6B4-BC2B-4157-B199-78D073256B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10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86BEE3-5E44-4AB1-B73A-740D0EDF15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BF28C7-6C52-457A-A7F1-B368AA994A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8CBC8D-4FA1-440B-8896-4F11C0498D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10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6DAA2E-F90B-4359-B0FB-ED1C232B25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AA845C-2DDB-49AE-8E72-F54E784028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EE0222-39BC-486E-9BA8-C63BF8F15C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10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C102AA-930F-4E0A-82A5-E018F8E9805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10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4CFD18-EA41-4A6D-95B6-327C66B72C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10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0C211D-624D-4E67-A239-34F0D646DB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10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4E300A-D922-48BB-BFEE-C1B436AEFC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10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3A081A-E1D0-4D71-A563-6D6150A6CB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10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F0A1AA-0826-4FB6-879B-660E04299F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10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34CE4A-4015-4549-BAF7-6C0EE4993B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E97082-1838-4DED-8BD8-A44555C035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C5D87B-177B-4555-B0B1-8ABC452299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70835C-7BEB-47F0-9774-7E824ADAF3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A15644-24B7-4C1F-98CB-E2B73458533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9AE757-7E17-4124-A3C3-9EE053DEDB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32BAA4-50B6-4306-BF18-6B8AC73A1A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F2B5AA-63DE-4905-A34B-A0940A03C2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1D8FA7-6D81-4F84-B74E-79F747F028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D889A2-0C06-4594-8565-DCDB032A4A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E9BAE0-BEB7-4763-A29D-14FDEFB619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3134F7-EB1E-45EE-9C00-B7D018F95C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865696-FE62-401B-B1A0-2AE4C62B9A4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10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FBF0F7-826A-452A-911C-731B72EFA18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350BE7-EF32-4AAD-847D-91EE5516FE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5686AC-CE88-4EAA-B2E2-82BB1068A0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10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53E424-6E28-4C2B-B758-E866B7E748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30052E-1823-4D9A-9C23-EB59BDD891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89699</xdr:rowOff>
    </xdr:to>
    <xdr:sp macro="" textlink="">
      <xdr:nvSpPr>
        <xdr:cNvPr id="10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2DA14C-25F9-4F0F-A38F-CAA3A3C7FD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91432</xdr:rowOff>
    </xdr:to>
    <xdr:sp macro="" textlink="">
      <xdr:nvSpPr>
        <xdr:cNvPr id="10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ED7A88-04B0-40FC-BECA-D41ED048E1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10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2F4995-F538-42DC-9FFB-9899070E3DB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84605</xdr:rowOff>
    </xdr:to>
    <xdr:sp macro="" textlink="">
      <xdr:nvSpPr>
        <xdr:cNvPr id="10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6A51CB-F035-426D-80AF-6520468DF4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10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DED652-1B11-41A0-A9FC-107DC0555D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86846</xdr:rowOff>
    </xdr:to>
    <xdr:sp macro="" textlink="">
      <xdr:nvSpPr>
        <xdr:cNvPr id="10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7954E9-060A-4877-A3EC-13287240D1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10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89A052-7789-4ACD-82CD-D0D0518B8A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81245</xdr:rowOff>
    </xdr:to>
    <xdr:sp macro="" textlink="">
      <xdr:nvSpPr>
        <xdr:cNvPr id="10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A84AC7-425A-4A8B-8D44-94CBA8F6F8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773129-FFB9-41DC-B10E-9DE1FCC5D1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9AB3B5-3D6B-4AE0-8C86-E160ED59E7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7C611E-48D8-4AB8-B6BE-CEF2F3F3D3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B3DAB6-89E6-4435-84A0-8B8CA7C29B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A28B88-03FF-4867-B94E-15B89F05C9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9263F3-F0D6-4DE1-AD9C-4765DD0CCF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E6F374-3296-4D27-AFBD-7CD0ABE8E4E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98156</xdr:rowOff>
    </xdr:to>
    <xdr:sp macro="" textlink="">
      <xdr:nvSpPr>
        <xdr:cNvPr id="10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F2AD67-441E-48D9-81B1-60A97C45D6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B421C6-3E51-4DFB-9653-C9611E774A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509</xdr:row>
      <xdr:rowOff>0</xdr:rowOff>
    </xdr:from>
    <xdr:to>
      <xdr:col>13</xdr:col>
      <xdr:colOff>304800</xdr:colOff>
      <xdr:row>510</xdr:row>
      <xdr:rowOff>87969</xdr:rowOff>
    </xdr:to>
    <xdr:sp macro="" textlink="">
      <xdr:nvSpPr>
        <xdr:cNvPr id="10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FE002A-53D8-4887-9B6C-12D1A21CE6B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894302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0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7FDF59-6C5B-4EE8-B4F7-72DFF02FE5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0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308CBE-2211-4D5E-90CF-1F752F03B9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0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447629-7632-4175-B92E-CF84CEDBB1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0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7D7EA7-8FFF-4F59-ABFA-3C158D6E4E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0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595AB7-9EA8-478E-ADF3-91048693B85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0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60510C-7F12-4B9B-B64F-90D4B08E32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0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0B3AF4-B38D-4281-A2F1-D7501016D7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0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F520BD-7128-4670-8243-EC365F57C4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0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7589D2-CAB8-4E55-AA36-EA23641374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0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0435E7-A279-4F09-B0A2-0A99B9261D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0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FB2F66-8F23-4984-BAFC-C25268D11B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0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6C8395-7C53-4D1E-ADE1-C4419628A2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0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B79095-208F-4C0A-A3B0-EBE48FB404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0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2510E2-0F97-4D51-BE61-53DC2C7F5B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0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FDCB62-9D3C-4BBB-9A45-93F933FC99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0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DF59F0-4773-4733-9C5B-D3C9BB1833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0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602B1-5CAC-4392-96A2-9CF5A5942B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0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8E1D22-E1E7-4870-AB47-FEED375573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4ACEC2-90A8-4186-B003-0A0CDD2BC7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86DEE0-F1C1-4586-9483-350DEDC864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C3F91C-2ED2-4E08-88C1-629E9201D8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57866A-1AA7-46F7-8E3C-21018F6619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ECAE35-B6E0-4036-8B3F-AD2ACFF516A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25049B-64DF-44F7-854F-61EC172876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8954D0-54F6-4EEB-A205-554838BD4B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1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2D466E-60ED-4D58-AAFA-16012640A8B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1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ECC441-C324-484B-A056-1F45229F3C6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1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F73705-D499-461B-9933-BDE9C59E34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1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57183A-2320-446E-90F7-F0DD206B78E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1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0DFBA1-934E-461E-8BB4-D8C4D26B942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1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04A13D-F78F-46F1-BED9-EFBE1CEAC17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1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8C3206-4A51-4E0D-BA4E-3B423158CB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1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BBBAB9-CAE0-440A-9E4F-3A5BA0F043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1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16B4B5-E5B3-46FC-97CF-991A1393BE9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1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CA3300-BD2B-4617-AC61-53B0B22538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1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FB1ED7-C56C-4F7E-B6BD-CBAAB58A8A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1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BCE630-456D-4500-8C65-B8C0FBA1FE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1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18EC87-0327-4931-8E11-7328305F51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1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5A3A81-E2F5-4A51-85DC-0460D793A2C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1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0B3438-4723-4BB1-A453-A0A31F9871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90CA53-5837-4D61-91E9-6EBEB6F7AA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46EEC3-BAF4-4D2B-B631-C5CF0DF389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B095F9-5309-4118-98C2-D0C453A265D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9C02A8-A38B-4065-9BEF-1ADCA9C646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1BE9FC-D741-4438-BC48-1FCC45EE4E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EE59B3-3026-4D45-8896-B8308306D5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E2660D-DC36-48F3-8D4E-7C7D9E94E1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1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152A4E-5EDD-4678-A53C-56AF965419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A8C297-C9FD-4BBD-BCDC-4A6F4AC546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1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0D73EE-376B-46E0-8BED-D13CCE0D72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2467BA-5C0C-41B1-953C-CEC7BDD2A5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3A68A1-9DD8-49EF-A3BD-602F3FD838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1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8B2A96-FFA3-486D-97FC-FDB67770D5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AF21B1-3FBD-4C6C-8416-87650CA0DB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2446E1-52D8-4895-972B-5466468373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1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02B960-F2C4-4F24-9665-E13E4CD111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A97A1E-6D59-4FE5-A55D-578E2A53BC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6DF179-129B-45F8-BCA3-16653CF517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1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886A73-373F-4065-ACD4-68E8F68213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1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49E3A3-66F3-40B3-8835-B0B6BB27AC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1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A823B8-CEDC-498D-A60D-0EF883AF44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1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9AE31B-F009-462B-A4DC-AFD2A4A6125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1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82A6FE-11AE-478D-BE84-DCD70B000B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1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9CDD4C-A735-48EC-97A4-495A1CB73F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1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715453-0853-473E-ADD1-74A00D660DD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E513EE-0019-4B17-8E5E-60BE3972D8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33D37C-0EE5-4C2B-B59C-DB248504EA6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55978A-8221-4243-8BAA-928328F6B2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05E315-CCEC-408B-896E-2A3A7E097E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345AC7-344A-4573-BE8C-51090A6DA4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0ACD4D-FCBD-4E1A-8BDC-084324894E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ED7E15-B01E-49F5-BC99-37DF9E6D73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A9DB09-9310-4D0B-835B-4536263A74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A54849-2CBA-4F4F-BE41-6A24F9E22B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671253-BBB5-4F7C-A98E-3B4D3FA2F79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4C6FF0-1050-4989-92FC-7BCD12B6ED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D874AB-9D8B-40CF-8D21-8EAEAF0038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1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D2560A-8A51-44C7-965A-2F3A4A1C81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607AD7-E959-4091-B463-B9042D8B6B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9F1254-01BB-4436-B027-9F00B54253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1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BED6A2-1022-4B20-9AE9-924DCAFF39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B757C1-D4A6-4D2B-AEDD-990A7F627E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734933-0B39-4D4E-A6C8-BD7B93959C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1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B79139-D80C-41CE-8BE0-86FF14EA1E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1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A6DDC9-FB6B-4509-856D-1CAFF99644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1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38300F-55CA-4F37-A589-6C97ABCAEA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1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6AF489-701D-45C6-B130-61B9B197EB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1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0F58E5-9C82-4180-BA4F-D6060F28B4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1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E541C7-CCFE-4AB6-A700-30339708B0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1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735B59-817D-4983-8E07-531ABFFF67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E49D3B-C448-4F3C-AEF9-4318548B6B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2F0076-92CE-4C69-AB5F-7EA35F3314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53931A-41BD-4DF6-8458-251EEC3E9B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9A1F1A-5749-4CC2-9871-645C477F4FC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E05D31-2FD0-400F-8634-BBA252667B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A2078C-0B50-4F8E-B13A-C94AD6E084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515097-E882-4459-8571-B010981E6F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1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658C6A-4193-4049-B9B1-839228ECFC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2271A1-ADA8-4813-8A5C-117EBCDD1D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1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640DE2-4A03-4C24-AC52-D469F56814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1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A4B8AF-C540-4624-A05C-AE9B2AC524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18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FA3989-71CB-432D-8B63-15F3208918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1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94AEFD-9307-4CC0-8ED0-10D1980B93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18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89207F-10EC-4682-8530-795925718A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46A0C2-0A4A-4176-A10A-5C5684CC2C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1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229411-2E46-40F5-AC5D-F57973C349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63832B-6BA0-47B0-97ED-680D995FB02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11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7EC6CB-9D07-41F5-A802-F5C24E8B28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FF69D-5A1B-4728-8192-66EDC30212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1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993ABF-4B2C-4530-9939-3B42D8AAB9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30B217-8033-4A86-9675-4A56614CCB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1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4C9E0F-C816-4697-9A09-F619E630C5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19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645AE7-898C-45CA-97A7-AE753E14C5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1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6A5FD0-EB7C-4455-A510-FCAF947C5E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19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9CA703-653F-4C8E-B387-D792018176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E812A4-C884-472A-BFC2-39264A3EDD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1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609CEB-66E7-4163-89D3-AD6AF38E54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1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A7D704-7789-4BAB-BD21-321E9468E4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12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F765A8-119F-4C89-880A-2058C2F5BA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442F32-0DDA-40FB-9195-B235A75F8D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0AC1E4-B050-42B3-BDF1-31B365A31F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8B5425-931F-47A7-AA50-6C82CD1ED1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615BC3-72A4-4E04-AE93-2B72CC5F110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0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06F3FD-2F58-46BB-A385-20664DD9F1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D05028-C143-4D79-9BFC-10534F077D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903FAB-10E5-4B5C-A860-3A421FAFA8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B1C979-B4F8-4D61-95A7-FC39496FCE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6FED53-FBC1-4F1B-8B1B-EAF1575808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693F25-158D-44B7-A0D2-88FC0DBC24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12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9DB71E-FDDF-4E2C-9242-B6EE217368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14B618-2743-4FBF-88DF-466CE5B5A5A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30226D-F57E-4724-AD62-C4538D29E1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0FABF1-1A5F-495A-B159-8A0AF2C9C6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12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7505E3-A944-49B7-8346-8FFFD5C0C49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121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A256B0-C9AE-4CC8-B86F-5F4143476B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12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5B7E5D-0A16-4712-ADE6-A503FEF4D8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12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F21CD9-1C24-40B7-8F1C-DD91BAB37F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4A856D-19AF-47B5-BD11-29DA4A6ED08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E86F16-40A8-4D7C-9EB5-15EA5BF97F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A8F869-C6CF-4B02-B6D1-EFC5F5AAC58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12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586032-FF8B-4B99-BDBE-660DD3A3FF0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BA98F0-4FF6-4149-BC3F-137634E5C5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0EFD36-AA98-4D43-92F4-829CB46ECB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FE1FDF-3A13-4FA2-95ED-933A3E7EDF5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12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8AD067-519F-4F56-A504-D712C179B1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2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48A7D0-663B-4451-8A05-72BFCF1939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12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34663F-86B7-4B47-A367-9C89996D5C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2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5951F1-E21A-449F-B3B8-346BE2E106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A871D7-2777-4467-B3F1-B220F9741F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180C6C-5EA0-4C67-9849-BC623CCD93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68E69B-E630-4589-89E3-EBAEA127CD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12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891288-44F3-4261-B095-A7F30D6F772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71A456-945B-4A7D-AC2C-6D53246490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3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0BB787-B443-41C6-9C0D-1522F1CA38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B97442-9C50-471A-9823-7A0C47B36DD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D11597-7715-4F1A-8904-23E978B5EC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91980F-9B52-4C9B-A19C-539F520B3F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0F0E4B-85B8-4D0B-9CFA-0C8D11FA18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3C2E9B-06DD-4BE0-A6E0-003935B795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E49FDF-319C-4E8B-BD07-2BACA6B743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634BCF-DB91-475D-B4FA-E3F4F63747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F8A477-1DC5-4559-B11F-9F08B4E9A2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12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2AA188-2DBA-49E9-84B6-ED7BFC7925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9B3722-7F71-4127-B2D1-26C7C9F1D0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4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7C5DC2-6333-4FD2-BCED-B1044868F3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78DB45-06E3-4006-A0B4-CD5706EEB2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5326B5-269F-4F88-98EF-29A6E95BB84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4DD8DD-BDFC-43F3-8EA0-75A7D0C0AC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28A540-AE8B-46CA-BCEF-5AC8400F46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19878F-3D49-4190-A02E-12F91BB88F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F8ED58-A673-41AD-BB8D-EA875B651B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718FDA-F841-41D9-A7D9-1112B56A60D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C642CD-879A-42EA-BCB1-F5865BB7E5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12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EB5CC1-5403-4DB5-9E81-97C1E49D9D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1D7CC4-D630-403B-BCAE-42E8974A97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5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D53FAD-BC71-4E31-9576-6FE82C505A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02E152-AB1B-48F0-A53E-872436DB7C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AF6D5E-A8D3-4C86-8884-A2DB2610A52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8588FD-01B5-45D3-A790-9F1DA5537C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12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78CB08-6358-43BD-AC10-F262C4D7CB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12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208D01-73BA-469B-913D-39B6225600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24CEC5-B4C4-42BE-9CB4-C404D9209C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9A3173-6FF0-4AE2-9514-F699C13B61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8E7414-8798-40BA-AA56-587002F008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12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1525A0-82A2-49A8-B4F5-40AC68795FE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47B762-93B9-4D00-B2BA-FCCC2385F1A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126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BF4EF6-51A9-4883-BA73-C605000879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AF96ED-FA5D-4A0A-8D24-A88C09A492A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12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34D74F-945A-4435-816C-1E0E53717E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12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E1B301-B18E-4C41-87CB-4487FF0542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12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84322E-2840-4052-8495-ABE51B268D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12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9CB148-4BAC-4DD5-A53A-473ED0A756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B5FBC3-AA66-4A80-9A1D-72CD9117721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7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3B2E3B-5FD2-47DB-B00B-375786D0D8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16286D-ADD6-4E12-8ABE-D4962C969A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12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77AD9B-0CE3-43F1-A1EE-CFAF0C58B7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38B1EB-6459-49EF-B925-3CE81777D1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7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591A3A-73BF-40F5-9280-54CC799BB0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1AEE48-924B-486D-8DE4-25FDD7ABA2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12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28B730-68BF-47BF-9D79-38581833E32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2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F18D-3BAD-4761-95C9-3D4603CA107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12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D7DDDC-EFBF-4E7A-BECC-558A575F499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2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2FDAC9-AC2C-45AD-A037-77DAF2BB3D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15003C-88D7-4143-B405-1CD89DC0BD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8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9496AC-BAEA-40D2-9CBE-DE476320BB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BF7DCB-74FD-45D2-9503-F8696CE895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12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7128F6-837C-430F-ADF1-A4A6048CAD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EF7C2B-36DD-4B93-8299-A3558812C8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129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94EF7B-0A1C-4B20-8C4B-8BEFF28CB4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2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E7FEC4-F9BB-4DD9-A68B-BBD1984D39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D86B2A-8A86-499C-BED9-0696698ABC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C595DD-28AC-454B-B8CA-EE10959E1D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2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7FBF8C-8A11-44B6-8944-4538F73FEB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FBDFD6-5516-4200-AA71-D5C17D5033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A8FA92-3610-4424-82E2-6982F85666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2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321A12-9FD2-496F-B71F-B177581C3D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A5238E-8121-4935-BC87-1E7B07E88F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2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EEFE62-2F6C-4390-8F6B-E9A51B4525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3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595959-0BC7-457E-8640-FBBB257BA3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3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1A9DAE-BFB0-488C-90C8-BE02B63C98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3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8EBDDF-2E8D-42A0-A6D1-AB78E159CF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3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33A1CC-46B0-4283-ABAE-4C472E826AA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3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3D986E-1495-4049-AE0C-E91935E6632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3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DA7523-AB99-4C90-8E18-06A36AFCE9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3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32EB0E-2AA2-41BB-9BBA-5CBC794586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A2EBAC-F903-4A01-9C21-CAA808A1AF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A9D6AB-FF79-4D70-84D3-5BFFE1F5C44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6D87F0-AEB4-46B2-AA92-ED4BF96754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98D714-ED53-4ABA-9C37-E8481D45FBD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4B642F-0AA1-478C-8726-BFE81FF07A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A13DDC-B098-4BA3-BF15-D3A949005A2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EFE2D6-3BD8-4E54-B269-3F74A38011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D6A4ED-E3AA-4E58-B0AE-15F46AF927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2D9DF8-220C-42FD-9BF4-64E9A19FE1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83BD8B-52CC-473B-A07E-8045F246F3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3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7C88BC-C459-42D7-A985-296F4AE388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3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53763E-B90F-4CB7-A984-49C80DF899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3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A5F6C6-E1B8-418D-81F5-EDF733EFAE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3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0104CD-8846-4BFA-8646-2DACA3E870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3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2FEEE3-7B2E-46BC-8DD9-1C9DAA6B91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3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69144E-5035-439D-AF71-281575A427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3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AB4F23-C095-40E4-BA7A-309E07827C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3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E65C7F-36A4-4C04-9229-0F5DA8D68F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3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3C44D4-D42A-4692-AB05-B7926ECA73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3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21D755-0377-420C-878F-B7EEF8BAA1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3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C06D27-B91B-4A69-A967-F74CF7F034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3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B3115D-26A4-40FB-8832-0E69B8E828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3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BE0551-447D-49EF-9C3C-4AA508020C4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3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94CA6F-6689-4F82-A0D1-3A183A577F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3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DF399C-CA39-4823-8BD4-1105181B87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38E26A-CA1A-4849-B92A-FDC53B25B7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28ACAD-EBA1-4CAA-AF91-6B40E334CD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710A36-73AA-40E0-A30E-975D749FF9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23448A-1274-4090-9A40-E5C9FCDCAC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DD59D6-0B30-4344-8764-C8BB4024374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919EC3-14DE-4C8B-B667-A081189A3B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452DDE-1F34-4D0C-9865-E33D4A8E3F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3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B49ED5-6AD7-4853-B1EC-B44FEFBA58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4CE3A6-120B-427A-8075-A31F245298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3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EA82BF-E166-4577-8808-D1036A2E43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C56857-BCF9-4E4E-9C4E-5BCA9B7F1A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5CDD8F-1346-4858-8D08-F86B634CEF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D4E254-8EA7-4B7D-A968-379D1F2C1C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0C20DA-6C0F-414A-9B4A-D7A2324249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A1E897-CADA-48EC-9DD3-29001D803B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FD825B-CEF5-4881-931E-E885440F8C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386C16-2625-48A5-B7E1-B0E630EE7A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73D67C-697B-47F0-9AE4-E26CD1F1B0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F668D1-FAEF-4014-BEC0-DB38053F77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3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C15682-D4B0-438A-B26D-3A9EB5CDAB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3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4BC34B-9C23-4E08-8830-D3279B3F1F2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3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59E7A1-F4FB-4D48-939A-707E50703D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3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477AA7-9EB1-44C7-B340-E4AECEAAED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3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C8B52C-C802-41A2-AD9B-302094E1D9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3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647EAC5-257A-4D7A-A620-9D3062CF99A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664999-CE82-4416-8176-7469F8326E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54891-7540-48FD-8422-A90351FDA2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69F7DC-DDE0-4B08-BA44-EEB8CF386F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AB2DAC-89A2-486D-869D-858F54B5D45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AF7719-199C-480C-BF7E-F2FDC27339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0A3FBC-8EA1-46BD-83C1-51389F4178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B5A4F7-0AF7-43FB-A6CD-38E51126C08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6EEED4-E886-4201-B9A2-BE73F97F19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68BD1B-B8CC-454A-AFE7-01D1F39BA2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6B23B6-DF5F-451E-AC85-EA47D97DF0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92D5B2-7FE3-4025-BA1D-25C59B776B7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377EC6-898F-4496-8801-B8B8BC3E69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0B76E3-2612-4028-A1FD-5A53939F2B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21E68C-8DA3-4D2C-B7B2-C157DEECA14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E83EE2-01CD-4C53-9E19-81849CC11D4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499C37-D6D8-4EE8-BA9B-38B339D273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D87D2B-B59C-4D5E-8907-A149DEF523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1554E-5038-4AFC-8A87-8B452CFF2E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09D738-D1DA-4BD7-B7B6-1EF4921E32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3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DCC9D9-3D16-416D-8C5F-BC17140C32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3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2520EC-C534-4EF3-B57A-841D49FC8F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3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DC7CE7-F9F1-4FA5-A910-4D23B9E1508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3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04F701-86F8-45D3-B017-9A963EC9E03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3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EC9C3A-5701-4DEC-85EE-1A719973DC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3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76C016-7052-4C19-A1E3-C23E020F24A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4E308F-3D32-4CFE-8FC8-79E4255162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CCE199-31AD-4969-B513-71658858B9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A48EBD-1F64-45DB-AF50-D71F31CAFB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BD58F9-14A1-4D7A-8DB1-8BE61DE43F1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B1E6F0-8A9C-4B07-ABCF-237E1F223A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39592C-DE77-4A15-91F8-51C33ABEB2F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F8F635-937A-40D4-86E1-24EA3D9D95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3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B80654-C312-4462-BFA4-57828BB81CB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C331EB-5D96-4A78-A45D-CFB49C93C1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3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21637E-927B-48FA-AE51-B52DB8F64D2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F1219E-5743-461B-B14A-12788C88738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ED12F8-4EAA-4E2C-9DD0-0C69A5327DC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98489F-2B6E-49AA-95FE-42E3B7254D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ED1D6E-E0D1-4432-9A34-BF647ADCC1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446B3C-121A-428D-B7AA-9FC3C11B262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3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DDE2EF-9D6D-4E2D-A252-FC4EFB1820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E27934-A01C-45A3-9905-15AF1DD2D1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3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FC426-34EB-41DE-8144-EAD428B1AE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4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ED37B2-7F1E-4C80-86FA-5A081F2AC9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4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ED0EBD-A4F1-4C8C-BBFA-E87921E73E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4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7D3B6A-512B-41D4-8471-2E59201391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4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328A01-EC61-450B-A10B-E0C53274B4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4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770753-62F1-4DD0-9571-C880704D1E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4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714995-DC4C-4489-B287-6FA26870EF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4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727A72-A5BD-4152-88A8-5726F04FBA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7131DF-8E35-4B36-89AF-726C63A7A73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69D483-42C4-4267-8248-A6DA2CCA3C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FCEFFD-C379-4F44-83F9-C0EEF92D08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240A42-C9D7-4B70-A101-B7E5B0E2BE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92AA96-42E7-4DB1-BE16-CE97AFD51D9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54F393-29F1-42EC-9676-56A43F19D6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EB385E-3115-461B-9F07-2D2D796F1F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9E11CA-5571-421B-888E-88148412AD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6DAD26-46DC-47E7-ACF4-505CE45BE4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77860F-2B44-4EB6-B666-D0A1E3C86E9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4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A5E586-25B0-47A3-966B-A43316CF6E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4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BBAE0B-2E68-4312-BC72-128B915B44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4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3AB358-B1D0-429F-98AD-FFA5E98679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4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0C4A8B-8E0A-4A7C-A61D-5EF9C38B34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4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2587B6-64E2-448D-9C11-DC8922570E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4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380AE8-7C0D-4DF3-9D62-0653017E41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4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ACBE1D-84CD-469A-86AD-6058F276551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4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8F58BB-6023-482A-9609-452CA9587D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4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4E7DD1-34BF-4F51-B201-DF35D2AF60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4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B993F7-297A-4995-A33E-FBA75C319E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4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FF69DA-2C9F-4ECE-A9B4-6E1EB680A7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4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2F58DB-2463-41D2-B6B9-CD179D7CA2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4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BFA967-42FB-4657-8565-83062EC095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4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850F1D-8308-4524-9D37-60A38E0AF3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4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486E84-04DC-4661-8EA9-676EBB54F9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FF0F41-4816-4A42-B67E-39EC8E5B6F6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A1CCC0-3F77-4D49-84F2-9A9166B29D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1FF12A-5D4D-4BBB-82D9-D369EB4591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7D059B-812B-4557-903C-5BB87B383D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5EBE64-8AE4-49D3-8BDE-3E54A9AEEC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993635-6666-4485-B8B3-A7D7BF55D8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70163E-1B69-406B-8DE3-1F87FC3055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4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CBF3C0-F7A5-492F-8F58-1AED55EC1C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5A5CDB-51DE-4D63-9F09-7BB2ADEB31A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4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EB62FD-EBD2-4619-A24D-496F4ABB515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FFD345-A98E-471A-86CB-C054E35690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12ACED-9910-41D0-8959-DDBA27767F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4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1752A2-B9F5-4A86-B364-789AFE49E0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0F70-17AD-43B5-9822-00E5DC6875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468CAA-A7B7-406E-9631-432D022F6FC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4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6D4EA9-BE1B-48DA-A58C-2F36CC492B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BF4FAE-330C-4F83-A3F0-9B2281CCE3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866384-CA00-4DD7-A36B-96357CB286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4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EEF06A-2CBA-4F97-A057-15EADCE667D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4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E1DCDE-AF6B-43C0-B4C8-277FA789444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4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CF7E67-ACB5-40F7-84B8-702BD34E38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4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DC8D61-12C7-49BA-AC83-D8B77C9D2C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4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154E4D-BBF0-40F1-A30A-CD582940DB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4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616818-619C-4383-8596-09074C3C7D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4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302445-73C6-4A70-A708-3F6A126E39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F0134A-A22B-45C1-9138-519583AC2B1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BBFAC3-FECF-4410-AA69-F0FF2D3BF3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A28696-298D-4357-8DDF-2DBB9F73FA4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4C6BF5-A7DA-499E-82CD-FB540A4E71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330F74-8F53-4FAC-937C-99B10C6EF9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1507E1-56BA-4413-8700-9114399DCB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92B094-51DE-4A12-8F5E-DC79776981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91A4BE-B5CB-4D0C-AB05-CDDCC45544D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54CA06-162F-4D9C-B3CA-5EDC3CEC91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145B8C-FAAC-410C-80A6-65F5CC5147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C5C51E-4E0E-4F73-A9CF-D73361A8CB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7535F-7BE4-4B01-AC55-CD9B5B4827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4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E1CBDB-8564-4B00-A3E8-4EE92CC28F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E3CCC3-15AD-413D-A70F-967A7040E92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1C59DE-E7C0-4234-9588-654D24C099C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4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996DB5-BFCE-4321-A809-EB3BDAA6EF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589A4B-7822-4169-8CCA-3B1F1BDF82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4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5CBBC9-8E3C-4675-B566-5CE2DC34D6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4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2F43AE-72F7-49FC-B5D3-0444BDD51D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4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1284E1-1DAF-443D-B76D-A79EBBFF16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4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7A117E-B315-4D6D-931F-50B926EAAE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4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2A4812-1FF0-421A-A027-E0BCFD168D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4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691535-7787-42DC-B8AE-67EED9CAA6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4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93EC44-B22D-4618-9769-03327A01E7C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4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302EC-2623-43FF-84C6-E9894E5D6F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39E7EF-DBA0-4772-906A-A129FDBDD4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C2D45E-2493-4C95-96F5-18D57EDFEA2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8D175B-9AA9-4332-BCF3-E75CE6CDBD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EC750A-B615-4229-87AC-06F469BC97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3A2A10-0AB4-45E7-B0C3-96CC2DFF04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F1C01A-5D8C-4949-B85D-2154B0E292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D97CC4-F06B-4452-9323-2C4DBC5C39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4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497B66-C073-4BB8-B595-F7F399887F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2437B2-7439-4641-9A6A-3FA1CD82CB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4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F55CB7-0FAE-4BE1-843B-2E90A1CB394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4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E50E56-5216-41E2-8B56-5625DEE35E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4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A5AD6D-4CD4-460D-9AAC-369926F1655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4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9AB098-1A7A-4A52-AACE-958A7DEC33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4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4D9352-9769-4F26-B1D3-1C619419630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4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97F767-005D-4F92-98A7-EAE4B85397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4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A40991-B540-40A7-A71D-37A73C33BCC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4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2E3CED-DFEC-4D4D-BB3C-B14CEF795CF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4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D0B53B-080B-400C-9837-F421B7C9D8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5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F62ABF-A1D8-40DA-8805-FF1DF22AF23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5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FB2BE6-5BB1-44DF-953C-BBC2F0556A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5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4152CB-ECC6-4D1A-99C8-2E6E24C7AA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5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5B4B91-0932-4217-9B48-F8C9953F69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5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D3D5D1-4AC2-4D98-AAC7-38D16ED539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5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C77F44-92B8-40DF-92AC-00FA5E2AEA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5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1A245F-21C6-4D29-B772-3286744777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8F8D91-908B-4FFF-B32D-CD0B0EA88A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0F4EFA-CABC-414C-9E52-1FDA2A7B78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3E8095-8D5D-4D0A-995F-EAD107293D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1230EF-EBB2-435E-99A1-F647AAF2E2D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AF67DC-E8C4-4A3F-B1F4-5A23859758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01BDF4-8CFA-4040-AFDD-0D0D226394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4B4DCE-AF5C-46B0-A4E2-8EF5AB7187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3BF967-6F5F-4C18-A196-B3F8143795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E9139B-BD46-45F7-AF36-27400798AA7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EDB81D-85ED-4382-BC8B-DE5E0D9C16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5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D9D3CD-C171-4FCF-9D96-C9827A3A613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5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503B5F-CFD2-4E0C-8BD1-73DCD0ACEBC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5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595F9-D2A9-48D1-97BB-D1ADC6F446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5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D5394D-2252-4880-9447-D92DE00073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5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838125-DF41-4D5B-97BC-0D8EFB4BA93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5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D67CC6-B949-414D-9458-17A8852E90E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5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0F10D1-8048-40B5-9DE4-A68AEBCD16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5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AD4E26-412D-42EB-86E4-E7DDA0A3B4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5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0EA1FD-683A-429B-9ACF-62B7345D38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5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1BC9A8-DDEA-4097-BFF5-1BE48B58C7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5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4B4661-C7CE-4F06-8659-D7BA1AC2722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5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C991E3-10CF-4505-9096-8B1766A12AC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5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A287BD-56B0-4A26-B7DF-583AA7C31C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5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C57F4F-1F1C-4B77-8589-3D207AD9877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5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DFB6C2-A66C-47D1-A294-DF84514DBAF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34F57C-8EC0-4833-8AFB-047C1ADA3D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7C3259-012C-47F2-BA86-7E711349CD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492787-8FF7-4B8D-AC20-A38A43FE25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FF0355-6B9D-4CEB-8195-DBFF9373DC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7571CE-0EFC-4823-872A-5D8EA1BF88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303EEC-029F-4350-8F98-0F76BBB3C04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EFF9A-F14B-4DEC-8E3B-FA34C65017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5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8CA7C8-48C2-44FE-990E-83F3E4978F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FD312C-36E0-4BB0-A1DD-02B25E2D119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5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85E4F9-DAEE-485D-B606-78F41B5C0E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4D3DE0-55D2-47C6-8EBA-A81717348E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F74728-6A52-4A3A-9C11-16130DB8BF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5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ED7D2C-E553-498B-BB28-6AA3A2769B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2E0C88-41F3-4075-AF28-B569D65D26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B27D46-2478-4725-9D78-65E79AD62A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5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7F2BEF-11D5-4EF6-A278-F7466E23B03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9483F8-D9DF-4736-B135-BA5E80B094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1A0F5D-8FFB-4DF9-AA36-3CBCE4E252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5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9C6A4B-247F-4801-95C9-178CED32E4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5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F549CE-9CFC-4F0B-8F9F-83A659123D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5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882B86-0FA8-4F3E-8F2C-37D0AFF98E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5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20668A-36D5-4E11-B6B4-8FD08A9F89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5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5EB42F-775B-4BA4-8978-C063D4190DD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5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8162D1-6268-4C2F-9AD7-E0D2AC5518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5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781534-7BEF-459B-A20D-234C95946E6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8BC5DB-0439-4C22-99C8-A9C898CB65C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366BBC-4489-421F-A59F-66A8F0151D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362F91-0BD2-47EE-8E51-BAA3305A54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D92FEF-516B-4905-8422-CF809792D3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4E2576-DF43-4E72-A15C-02C00D2C74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F79589-CC7B-4FDE-BD7E-B22F3B3DD5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F9BE60-4D37-40C8-A019-8FCADDD6E1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863245-5E83-4DCF-A943-F82051FC6D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42468F-EFD7-4B36-BA6E-F1C200018B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5C88B9-2B46-4569-955E-573F893488F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061C03-0D09-4A18-8399-AC975456FE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E7D236-EA2E-4B4D-9F45-68F2EC30EE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5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9C3899-1099-4FAC-9986-F6D501E047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4F92D0-73DD-464E-B5BF-E37E979C19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B35A04-A80D-48D2-ABA2-F7C23D4B1B1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5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B98259-6E95-429E-9A14-B6B5CC854BE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C6C5C7-707E-4845-85A0-EB7307150F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5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F7DB31-4F5C-471F-AC5D-6E7C0E5B3E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5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6BC22F-D0D4-4FF2-9FB3-03DF2F6304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5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AF4C1B-2DE0-4F13-A33C-D8C8EA6F94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5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315A26-646C-423B-A15F-D7BA6F2793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5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764D05-6551-45E1-B004-954C3E4C7A2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5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7C0B0A-3069-4507-928A-A6DCD2FC02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5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1B8AB3-E47A-4316-9212-C24F1FC03A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5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75A65D-04EF-4CE5-8EFF-689352BE26C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D33434-347C-4B2C-8705-B649AA1698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66A15B-64CC-4D78-9825-43887EB2EE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645263-E064-4A3E-BA3A-8D881152BE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C388B5-1335-46DB-83AF-C29DDAAC25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BE09AC-7991-4E48-802D-5AD812D1EC4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CA31F6-2BE5-45DD-B9E7-1B06BE1221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D1EDCE-C660-49DD-A143-D07869D265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5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B71E93-7F03-4597-BF4C-8661257E29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016A37-D087-4F28-9326-1D7EB2EE99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5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A33348-66A6-4232-A150-126EB49595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5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CC0F94-C181-4F01-82A8-47A1792893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5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572B5B-2CD6-4241-B8C2-E9431B588B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5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9EFD97-6CA9-4C30-949B-6054C15FDD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5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BD7892-86D3-4ACE-A3C7-A9A1F7CED4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5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A2260A-89B9-40A0-9B90-EFF80B9227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5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09068E-FD69-4618-A968-EE868E44E7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5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F3D6F-F1AF-4BE3-9252-63FDEC5B42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5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B42C60-BF70-4D1B-BEBF-D62927DE1E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6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AE49B9-93DE-4ADE-B22B-EB1A5C5A57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6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189EC6-C687-48F5-A8D6-A0D4BCB83B4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6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D08D1E-11F5-4688-A42E-94B4122A1E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6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44487C-E661-4ECF-8A9F-29D2228B831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6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88CBB2-25CC-44DE-BD06-C59E6AB4EA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6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F008B9-476E-46D7-A729-CBC9C606F2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6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B98E12-5FE6-42E0-9D56-8CECE1E840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E27F88-80A4-417C-BA37-571D75D1A8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FB8864-E2DF-4726-B56F-C2B2BEEB14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E4DA8A-67D6-4B26-B2C1-43DF64859E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66F49A-BA74-46AF-A73A-BAC34040D0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ADEC6E-C3B5-43F2-BEB0-3ECB471F54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0BA9AC-A57F-4AD1-81CA-D23DC08404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0FF3A1-DAFD-401F-9CF5-EF4F8657CB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0F92E5-C220-4C57-AA79-975FE89F58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C7E5AE-96AB-47B0-9C49-0F362D17CF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F789ED-4150-4D30-961C-356C6A01CA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6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030AB-9CA5-42CE-ADE7-FC16FEAE9B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6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B0664D-E15B-43C0-893E-4209715583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6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7CD021-3EE2-463D-9908-1F1EFCFECAC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6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D8DCD0-FA46-417B-B325-E1B7EFEBFC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6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45AD46-ACEB-4F0A-A97F-D8E45DC4E9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6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C755BF-FED0-45ED-8B17-79536F8BFF4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6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C1B112-6B51-4837-A665-9A819C7004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6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66CC3A-D6AA-4017-9A88-3B9A586046B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6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4AA1BE-0B48-492D-AF5B-FC8BB0273D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6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66C7B1-3EA4-428B-9127-CD833A3D0B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6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96B097-FA85-42BA-96BB-AEF7AED513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6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ABE818-8DEB-49C0-8B27-4DC4EB6FB3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6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4DDC4C-90F6-4D29-992E-825B8B1DE22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6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6E9C9-003F-4ABB-98A1-8212A6088E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6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7C01FD-F15E-468C-A733-30588430AA2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C6B017-4091-4EA4-95DB-BF02AE5BAD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62AEAB-D725-4668-BED5-0BE68F6693D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1A409B-7B12-4C42-B8EC-4614249C88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BF15EB-93B2-4932-8775-2120B885B7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770BF5-23AA-448F-86AC-98E3ABB636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50D887-EF94-4542-99D7-08B0E33879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8D8A9E-5E59-421B-8614-B3E0215F69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6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0F4D55-2F3D-4A97-8CE2-9052D0BCDA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65238A-3CEA-47BE-B901-F1FE5E16D8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6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5B84CC-2719-494A-A9FD-0B79A7166F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FF7608-B8F2-4232-8EDD-4A639789A0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4CE6C9-6EDE-4A17-B418-1A0DF39B9C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6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49823B-7C11-404E-A0BB-60E9A33E89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3EE193-F714-4B28-906E-9243DBDC6A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9D6379-7BE1-4064-A345-A78551FFAE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6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CAF0D8-5494-41BD-9EB6-14D61B6A0F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A1ECF8-78DC-463D-B03B-E130E0C14E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9D61C8-8BD3-494E-B872-5811DD383B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6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3BF634-F9E1-4CAF-B6D3-8A3FA60171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6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5AC9F6-49A5-48D8-B858-30BA3C09F26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6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4B56EC-EA6E-4A56-AD13-53D81615D2C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6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A40233-AE6F-4E8E-86C9-62BA4C7C70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6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5C51C-916B-4F92-9C5D-E3B9291980E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6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ABDC57-7EEB-47D3-9813-5FC4B4DC7F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6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3EA142-8381-400E-8DF5-AC22C50ADF7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AC9D95-CC40-4DFF-A487-91E03E8C40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DC9EE3-1D38-49EF-A7E4-7C107B14E4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2E5D04-9023-4FA3-825D-4FADC2DEEE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832521-C024-400F-B823-62547EBDB4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37C231-209A-4E13-8BF6-21D8BFF28E0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7E53FF-8763-4F57-ADC3-E9D242305F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702484-AAE6-4451-A11B-977D1F8648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71CCEC-9030-41E2-8DE2-61B3AB4412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C8A4C1-1C0D-4E5A-BDF6-38AE462BDF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864ADA-D04F-4EEA-B946-124BC94E236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766ECF-2B5A-4CA6-8479-E785692ADA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347612-23EB-40A2-B540-369BA69DF2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6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36A580-CFC4-4B2E-A1A7-D4AA0FED93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8880DA-DB9D-4B53-8767-3D1E86AAD9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5E1A80-06AE-4437-966F-C4F79BA9CB1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6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F29AD0-1DA8-4BB0-9AF8-9A44B5DB1A5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174422-1938-432D-ACF5-DFCAFC49D3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80172</xdr:rowOff>
    </xdr:to>
    <xdr:sp macro="" textlink="">
      <xdr:nvSpPr>
        <xdr:cNvPr id="16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F479F1-C79C-495F-85D0-B1C2CCDEDD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81905</xdr:rowOff>
    </xdr:to>
    <xdr:sp macro="" textlink="">
      <xdr:nvSpPr>
        <xdr:cNvPr id="16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3535F1-0DB3-46B6-8F3B-351269F57F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6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F38890-A0D0-4A99-859C-5EEA6FFE7D2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75078</xdr:rowOff>
    </xdr:to>
    <xdr:sp macro="" textlink="">
      <xdr:nvSpPr>
        <xdr:cNvPr id="16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1FF350-9AD3-431A-80D2-6F4F094A7AA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6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75758F-7202-46DF-9FC9-8CB2325FF3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77319</xdr:rowOff>
    </xdr:to>
    <xdr:sp macro="" textlink="">
      <xdr:nvSpPr>
        <xdr:cNvPr id="16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872180-D7B4-41FD-9B20-48E1A912A5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6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2E91A2-4CBC-46CE-B9B0-AA12ED4B9A8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71718</xdr:rowOff>
    </xdr:to>
    <xdr:sp macro="" textlink="">
      <xdr:nvSpPr>
        <xdr:cNvPr id="16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00CBEE-D7A3-4BC9-B5FB-2D2C5306C1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DA693F-8FFC-4180-81CE-EB29A4D347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0D459-3819-4B17-9D8B-0C3BEACADA1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DF7EED-C367-4902-BF3F-0F512599EC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6084DD-979B-48FF-83B7-6A5E0B8D04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1FD6DA-7FDA-44C8-8978-7229F197898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647057-E8D1-4C5E-9757-A5B72C76DD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B6D275-E397-453E-A7B2-DE1F033D4B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88629</xdr:rowOff>
    </xdr:to>
    <xdr:sp macro="" textlink="">
      <xdr:nvSpPr>
        <xdr:cNvPr id="16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106751-4E7C-4CC4-9A2F-CCD3AF8153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152E4E-DAF6-4943-AEEF-1908FE3336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78442</xdr:rowOff>
    </xdr:to>
    <xdr:sp macro="" textlink="">
      <xdr:nvSpPr>
        <xdr:cNvPr id="16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C0509D-85D6-431C-AB77-02CDC7BE4F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6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998A0C-DD5D-45FE-9694-060A93A26F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6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B5A8DE-049B-4A2F-A55B-0C568008C6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6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F32505-4E74-4AEB-A433-6147B420E2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6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AFD70A-8B93-4852-A19A-21C1625A2D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6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35F4DF-18B4-4C7A-865E-CCCF87F2FC5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6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48EC5-2D57-4A3D-B091-62E982B42E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6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812AFC-5274-406B-87AF-76B6555183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6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C9A857-C69E-4735-9415-FFCC98D6F9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7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579013-E96B-4882-AFF3-65AB5FFF9C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7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B8CC24-0995-4F08-AFDC-5CA9109D0E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7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738CAF-ACF2-4D7A-84F0-675316A828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7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7A4009-ACF0-438E-B19E-167EFF50659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7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FA6A47-40F7-4AF7-8B6D-CBB01A4E4F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7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D226F9-DB2D-4FA8-876E-AD44B54858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7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584F9E-42AF-4DDB-A2F8-FFB17953E3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43EB1B-5E21-4D4C-9ACE-03A65D939FF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8372A1-7D55-4478-9241-59387FE840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E116D6-A90B-4713-AA8E-1570FD717B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C6374A-4F12-4130-AEC0-9169EE1567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A1E004-F27A-4D96-A2C8-D0991DA1060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AA620A-4790-4E34-BBC3-C75A0506AB9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7ECB2A-31C5-4CE7-9614-4F5BB3CE4A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DEFF51-A5DF-4E1C-87D3-48D340D5549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00770F-1286-40E2-9F18-E4C9FF699A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A9054E-C172-41E1-972D-1BA6066BF6E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289541-1BCD-4EE4-9188-D3739CD1CA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594C97-C8F0-4E4F-A6E0-6B66748F9E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7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85B6CC-BC3E-4EA6-92DE-57E31CA6C5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4ED7E8-5DA1-4DC9-A8A9-1C42E1B3AB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71C2A9-D1CB-4EDB-952A-A0836C2AF4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7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C6D72B-927F-4F87-8B34-42A0EFF3410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3C78D7-DFB8-42C1-9E2C-6431550007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8B94DB-F498-4835-B035-774F28BCC2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7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A3A392-0371-4398-8FB5-E119A84220C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7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A12D72-7737-4E08-9BDF-71D8A140191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7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6CE54E-2FB8-436D-A484-9917A88204C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7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08C37B-34C9-48DB-93E8-27016A3BA5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7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C1375E-4682-4732-AA80-D82D3C765CB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7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E9BBC1-AC74-407F-988D-68C1FFC3FF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7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2B9209-38A2-4B64-80AE-719CC73644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B4FF71-E23D-4663-B9A9-5FCCAD294D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5916A0-0A6A-4525-94AE-55383CB8BF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547A8A-E76A-41BC-BD98-668495FD255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296427-4CA5-4762-81F4-720691603C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DCD5B5-91CD-459D-B24B-24BC2D991D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1BD3D8-ECCF-4B49-BB53-13F67E156C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9FF676-1E4D-470B-B443-D983C0FF3C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7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DB2354-2030-47EE-A4DE-A4DE72732A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B5FB3D-6863-4A89-92E6-D3E32AF1B3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7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19966C-1EB8-4B84-97CF-263AC06C9B0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B73A65-B7B3-4C2B-A5AE-F43FCDBCCDE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9D47F0-3979-4521-A9FD-051A46D9A34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F1F779-550D-46A8-8AE0-8075625AD6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4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642A28-B216-40B1-A97C-09960C292F6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590426-5E5B-462C-BC46-110A657D044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7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D8C737-D5D1-48BF-AD17-F64AFA4DCBE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82C9CB-43D2-47E0-B339-4DE7AB7EC0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89699</xdr:rowOff>
    </xdr:to>
    <xdr:sp macro="" textlink="">
      <xdr:nvSpPr>
        <xdr:cNvPr id="17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D7B5F5-10D2-4E20-B317-F4824396C1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B95034-72B9-4C3A-8D12-4FF844B6D9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7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1FA63A-7D5A-4A88-9F3B-65BCBD8DC42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403A66-31A4-41D4-ADF7-58368BB1A6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3A3A03-BDB6-4592-B22B-6D42CD2A1F5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9641A5-9386-4C39-A1EF-4CE36AA29C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7B84F5-F2A4-49C6-A22E-158E7A0FA3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5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6A03D6-1FBB-443E-84A6-88E5CA8708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021139-4D65-4E6D-8D23-02B74DD735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7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1B234A-295F-4435-9D98-9982A243F0B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B2DB5A-76E0-4326-A684-016FA18BD82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89699</xdr:rowOff>
    </xdr:to>
    <xdr:sp macro="" textlink="">
      <xdr:nvSpPr>
        <xdr:cNvPr id="17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7C2F1C-1535-42B4-9215-74E712883B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E6C538-D1AE-46BB-8B84-EC8A3CE90F1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7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6E018A-3F29-4513-BF7A-52604A20BA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833A8A-25DC-4F41-B4E7-8240543F548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4D9678-841D-473E-9E35-7E7DB2730B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6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D22D2C-0F64-49D0-94D3-01ED31A030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DBDECE-B952-485F-9C33-5313F832A9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140EDF-6AF5-49B1-938F-DD0731825D5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77B8A7-F757-4619-A216-1F4211425DF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7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0D7FDE-46D8-4E76-9925-E70651D40A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1843E3-889E-4AD9-A2A5-9DC0FC35135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89699</xdr:rowOff>
    </xdr:to>
    <xdr:sp macro="" textlink="">
      <xdr:nvSpPr>
        <xdr:cNvPr id="17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0BA368-774B-4CC4-8C6B-976F7633B40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FBDE27-D4C7-430A-989D-F1ADF8C709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7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145C27-24C4-42B3-9E07-CF43DBDB80D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7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F82D25-D211-4729-A2F9-C93E15851F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86285</xdr:rowOff>
    </xdr:to>
    <xdr:sp macro="" textlink="">
      <xdr:nvSpPr>
        <xdr:cNvPr id="17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D06E21-49FF-42C8-8DD1-028CB9F119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86282</xdr:rowOff>
    </xdr:to>
    <xdr:sp macro="" textlink="">
      <xdr:nvSpPr>
        <xdr:cNvPr id="177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244063-12A5-47EE-8C6B-FD9BCDA15F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86285</xdr:rowOff>
    </xdr:to>
    <xdr:sp macro="" textlink="">
      <xdr:nvSpPr>
        <xdr:cNvPr id="17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FE6798-822B-4A99-A260-9FE2EEA0A0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86282</xdr:rowOff>
    </xdr:to>
    <xdr:sp macro="" textlink="">
      <xdr:nvSpPr>
        <xdr:cNvPr id="17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4D30EE-F67B-42D1-BC29-02B69A0DF5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CC0532-8F73-4FD9-BB99-F4B74B0081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7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B83769-1B0B-4533-BC8F-C9C678B13A7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9148BD-4837-406F-8D12-5D04334D728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7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1A1CF6-D19F-4C25-824E-DC258EC2F23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8DD7BC-CC70-428A-831A-EC52128845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7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706FAB-15ED-4067-82BB-AC85ED1703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DED3E8-67BA-4969-8AEB-9892C0961A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7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DEBDC2-5221-4A1A-AE98-DE2CB57A598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88524</xdr:rowOff>
    </xdr:to>
    <xdr:sp macro="" textlink="">
      <xdr:nvSpPr>
        <xdr:cNvPr id="17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FF507C-27B1-4678-BABB-CC097CE870B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7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7F5BDA-D38D-4D04-83B8-4E96E475D9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88524</xdr:rowOff>
    </xdr:to>
    <xdr:sp macro="" textlink="">
      <xdr:nvSpPr>
        <xdr:cNvPr id="178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6A82DA-EF66-45B8-B5D0-721E6F0D9B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60B51-1804-4ADC-BB50-3CE1C06363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7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4FB2B7-8F59-4F9D-9F31-94A3EF3B69D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54FA49-25ED-4682-8A7A-A9392DA0FF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7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7A65EF-8CDE-46FC-B493-2A589F3FDF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23EE44-16FA-4A5E-AF08-9045BD59CA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7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C199A9-8713-4577-8A1B-0DFEE099DA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7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3AAE3B-B446-4BDE-A906-F615CCDA8A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A8F4AE-64A5-4572-A5F3-9B8AFF21D8C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7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4CAAE7-3234-42C7-892B-D086DE27B35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7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087CDD-E72C-4349-8E38-5F6133A2C4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80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DBC980-3C70-4D51-A9A7-016890C5C8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2A1CDC-7B91-41C3-AEF4-3D4648EB40D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8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891E8-98E0-4B81-9740-7BC81099529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50541F-5182-4903-AB51-3D4154FFF9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89699</xdr:rowOff>
    </xdr:to>
    <xdr:sp macro="" textlink="">
      <xdr:nvSpPr>
        <xdr:cNvPr id="18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6C9BD8-CB40-4831-8E22-ABA2DD01FCD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A33E03-B3AB-4BBD-A276-3DA6CA4E68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8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2259E6-C3D5-451B-A29E-6FAF45D8F7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89614A-D48E-4791-BC91-9BFE89081E0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8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B1AD95-1100-4CF2-A32F-3073F93534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8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014752-3DAB-4269-8B55-9B88F7D8C9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8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3E481-226A-4FAC-8204-AC133CEB14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8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ED3A9B-6911-4B52-BAA2-138F458685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CB6981-0227-461F-8FA4-BA4EF8BC18C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8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06B58C-B072-4D17-86D6-6D8C3109E0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F91490-70B1-450F-A4B5-C71CC16FF1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89699</xdr:rowOff>
    </xdr:to>
    <xdr:sp macro="" textlink="">
      <xdr:nvSpPr>
        <xdr:cNvPr id="18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FA2560-F082-444C-8B2E-3FF0660B7D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BEB293-9C34-414D-9A1D-DEA5EC9DEDB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81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0F555A-A74D-485A-81DD-C86695B78BD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3A3238-535F-48A9-88C0-01AE8DE046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8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45B3AF-8B85-4849-9439-2E44F4EDCE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8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044C62-0256-473E-B5A7-364B6FDB7E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91379</xdr:rowOff>
    </xdr:to>
    <xdr:sp macro="" textlink="">
      <xdr:nvSpPr>
        <xdr:cNvPr id="18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71D516-3FCB-4152-98B7-C90F39B858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91376</xdr:rowOff>
    </xdr:to>
    <xdr:sp macro="" textlink="">
      <xdr:nvSpPr>
        <xdr:cNvPr id="18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2861BA-6F89-41A2-8E84-69C2C7527C3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7EA2CD-DC80-4C15-8D96-410295863E3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8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ADAD90-C4EB-4533-9643-29BA9B38DA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965DD8-1517-44BB-88BA-BAC852AB194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89699</xdr:rowOff>
    </xdr:to>
    <xdr:sp macro="" textlink="">
      <xdr:nvSpPr>
        <xdr:cNvPr id="18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161A67-C773-4DDD-9A3A-5B81BEE6548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4DD869-AA62-4F25-8D57-DB6CC088219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89695</xdr:rowOff>
    </xdr:to>
    <xdr:sp macro="" textlink="">
      <xdr:nvSpPr>
        <xdr:cNvPr id="18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483568-D421-482F-8EDA-A9817959BF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800256-976E-4B0D-91B1-39F02168FA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86285</xdr:rowOff>
    </xdr:to>
    <xdr:sp macro="" textlink="">
      <xdr:nvSpPr>
        <xdr:cNvPr id="18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A824CF-7219-47A8-9168-13EC906A1C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86282</xdr:rowOff>
    </xdr:to>
    <xdr:sp macro="" textlink="">
      <xdr:nvSpPr>
        <xdr:cNvPr id="18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E918DA-AF20-47BA-B8D6-3A5834E96D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86285</xdr:rowOff>
    </xdr:to>
    <xdr:sp macro="" textlink="">
      <xdr:nvSpPr>
        <xdr:cNvPr id="18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4FB17F-0B36-473B-BFC4-E3FD59EB4C6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86282</xdr:rowOff>
    </xdr:to>
    <xdr:sp macro="" textlink="">
      <xdr:nvSpPr>
        <xdr:cNvPr id="18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2280E5-0447-4E9F-943C-9A7A03CC236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11C0D5-51A8-4B97-B075-87F2CD8F69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83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6C3815-9473-47EE-9CBE-37A8F34DBF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80DD96-7CF1-4A5A-98B7-4488BE0E35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8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35C390-3791-4505-8CD8-C6E537F94D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4D5311-852B-46E2-BF4B-982CF827008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8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C729F3-79AA-48F9-B717-C79B5E13A6C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C1D45A-B9CD-45D7-ACA7-D16005D065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8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2CB42A-2023-4D59-8CEB-7F7DCC5A37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88524</xdr:rowOff>
    </xdr:to>
    <xdr:sp macro="" textlink="">
      <xdr:nvSpPr>
        <xdr:cNvPr id="18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DA1365-2596-48EE-AF85-CC91FDE1BBB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18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500DB3-DCF4-4A5A-BF4F-4D7AB90548C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88524</xdr:rowOff>
    </xdr:to>
    <xdr:sp macro="" textlink="">
      <xdr:nvSpPr>
        <xdr:cNvPr id="18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1F0951-150F-41B1-8FE9-667F01BF29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CCE0E4-68B3-4012-9857-22F36CA15C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84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423BEC-2398-49AC-B6E0-BBAC86FCFB8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4B1860-F08C-4583-8AC8-710F9F828C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18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C141AC-37E0-4B51-BC52-B36F131631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4E5C1B-B477-4608-802F-31775A77B8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84601</xdr:rowOff>
    </xdr:to>
    <xdr:sp macro="" textlink="">
      <xdr:nvSpPr>
        <xdr:cNvPr id="185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124349-A027-4F51-A5B9-8E12CE4516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8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93038-8B2B-4E24-BA42-54288B13D6A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BA1059-B8D8-4317-98D7-8C53AA7819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BEBAAF-98E3-40AE-9042-2380F023D38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8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49B41A-7E78-48F8-89AA-B2044878BB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4731AE-7DE4-4217-B921-6BF69C2EFDB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9A200C-93F6-4775-8091-2327517CC9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8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05132F-9D23-4251-B172-958A13519D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CED062-1A10-42D9-9D99-E608378525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3933AF-920D-4D0A-B5D7-AB0516227DB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8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FF692D-373A-48F1-BDB9-A8C216243E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8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34C0B6-3672-4367-BE83-CF41589E29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8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2A5358-70C4-4AE2-A62F-793943B8B6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8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FFCE21-3BC3-4E96-80E6-09CE26D7B9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8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9BB586-B234-4BED-B963-57E904495B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8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046E3D-6225-4F16-B65B-316E25B498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8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840AED-0EB5-4925-84AA-1EB57047EA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9D026C-DB35-4A53-A41A-C69AFE910E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B1703A-7349-49A1-87B0-F293EA3FE8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9960AF-C4CF-4D17-AABA-13A8730D14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8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061EF5-1CA7-4C33-A92C-D1F685DC2A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8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6F638C-4BCA-4D6D-B33B-361F29D57F0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602FB8B-EAAB-4C91-AC03-79766DDD77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A5414C-9F0C-44B9-9B7E-A2A1E78E3A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3FEC38-38C4-44CC-B6B4-B8CB565D24D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8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89C154-9263-4E36-A815-F346AC08B8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8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2A0C3B-EF64-4991-93A6-B9856F6691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C7BFA5-79BB-4D58-9AAF-872C7F7D9F9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6C0C6C-0B77-4292-8CA8-E60071899C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8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1D2703-C0BF-4A48-959D-C4D9CE99F3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68C3D2-ED88-4C96-B580-21DD9ED6EF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DBD921-0CC3-44F0-9DE5-722BD56B23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8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AD5DF8-1546-493D-8EE4-5A1EF8105EA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311FD4-A1D7-4888-BAF7-C0D9F46328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89697</xdr:rowOff>
    </xdr:to>
    <xdr:sp macro="" textlink="">
      <xdr:nvSpPr>
        <xdr:cNvPr id="18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CA52C4-F36E-42BA-8920-55034FBDE2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91430</xdr:rowOff>
    </xdr:to>
    <xdr:sp macro="" textlink="">
      <xdr:nvSpPr>
        <xdr:cNvPr id="18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2903AF-7604-4CA3-A427-7A9DF3FD95B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8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3F2902-8FB1-44B1-91DB-DA2B64274F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84603</xdr:rowOff>
    </xdr:to>
    <xdr:sp macro="" textlink="">
      <xdr:nvSpPr>
        <xdr:cNvPr id="18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BD9C4-16C2-45B6-B263-E3036A85178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8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36F165-4959-442C-A236-6C62EA21ACE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86844</xdr:rowOff>
    </xdr:to>
    <xdr:sp macro="" textlink="">
      <xdr:nvSpPr>
        <xdr:cNvPr id="18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69F83E-5A87-4B92-ABC5-23A2682754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8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FE0D26-AF49-4515-A39E-BEF4D84E5B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81243</xdr:rowOff>
    </xdr:to>
    <xdr:sp macro="" textlink="">
      <xdr:nvSpPr>
        <xdr:cNvPr id="18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A8BE12-2561-49DE-A878-382FFD8D1B7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1D3FC1-F1F1-4739-B8BF-529BF3387C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A1A44C-57B1-494E-B062-4BBC500DCBC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D46393-1061-4ADC-8FEA-FDDDC994481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8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7289FC-DFA1-4954-889E-8C16CB6A2B9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8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E91E7A-90A0-413F-8ED6-C1137DA6F7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939BEC-7B36-403C-878B-5147F4401EF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9606F8-76F2-4ECF-BD8A-48F465355A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98154</xdr:rowOff>
    </xdr:to>
    <xdr:sp macro="" textlink="">
      <xdr:nvSpPr>
        <xdr:cNvPr id="18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6291C2-A860-4B8A-A196-019C82F7CF6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9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E882D3-5F99-458C-AA00-376C46284A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87967</xdr:rowOff>
    </xdr:to>
    <xdr:sp macro="" textlink="">
      <xdr:nvSpPr>
        <xdr:cNvPr id="19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08C542-E468-4C70-81CD-D7EDE8AB4D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D80AB0-58D7-4ABC-BE47-14E432E15FE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975E46-49F5-4B79-A57B-47079245E8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9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0F98DE-99BD-41BA-BE9A-5E5D717036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0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9D1668-DE74-486A-9B5C-F4E3A5A6FB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19240B-7A51-47DD-B8FA-0DFABDC02D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9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F0CF27-C77F-4287-AEA1-239019C9686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AECB98-99C9-41AE-BEFB-C5CC6DDAEE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51E1A8-99E7-4CFC-B654-726502A08B2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9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AE48F5-F5B3-4050-B26F-1A785837288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9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140CF0-339B-43D9-9102-ABE74041A7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9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131898-D3FB-4F1B-9C08-352277C37E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9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D7C800-6971-44BD-B1ED-8C1B7FF318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9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842B22-4EDE-4D38-AA2D-FBE97468C0F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9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F74774-B4A6-4A28-877C-22D9F2A375F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9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929BA2-100B-43D0-9B2E-D0D535E210A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7631A5-964B-491C-A0AF-D25121DE68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A92F58-FCDE-4A60-AE00-6737D3F600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777C25-4B72-4932-8FA4-F7ACCAD177B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941217-0FE6-43EA-A6D3-315F7D9D06E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5E23C9-A737-4FE1-BD71-9E9363B0643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A091C2-EAE5-4B81-9CF2-E577B57ADD0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B6C0F7-51B9-471C-BCB6-C860FF4B8B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B7B1A8-998A-48B0-8725-12D47AF254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133BBE-FBEA-47B8-ABE1-308C59CCF3A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A8D5A9-17C2-4656-9242-C8EFF540951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1B73664-63B8-4F3D-BC7F-35B93696BB8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2A8CB6-4C0F-4560-9AED-611EBA0DA8D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9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1B0BCD-9E66-43CC-ADC7-39D80278B5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8F22AA-3198-471D-888B-366C5852C44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AE150E-1A0D-4FDA-B823-0E5BD26157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9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FD2A1C-C519-4FD5-840C-DF86FB1F6F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706AD0-6CBC-49C9-ADA0-4E3C4DE15B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80173</xdr:rowOff>
    </xdr:to>
    <xdr:sp macro="" textlink="">
      <xdr:nvSpPr>
        <xdr:cNvPr id="19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D7FBB5-FCFE-4AF9-AB84-7A11EE8BD88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81906</xdr:rowOff>
    </xdr:to>
    <xdr:sp macro="" textlink="">
      <xdr:nvSpPr>
        <xdr:cNvPr id="19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7BB842-13A4-4F5D-84F4-B0A05265B0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9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D3D40D-A079-4EB0-8587-5A424B768AC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75079</xdr:rowOff>
    </xdr:to>
    <xdr:sp macro="" textlink="">
      <xdr:nvSpPr>
        <xdr:cNvPr id="19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C236D9-14BE-4CDC-80C8-AA371D495C9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9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0068F4-4B28-4AAA-83F4-FF1E26B066C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77320</xdr:rowOff>
    </xdr:to>
    <xdr:sp macro="" textlink="">
      <xdr:nvSpPr>
        <xdr:cNvPr id="19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FC5A5E-B79A-4524-B9B7-9E556F42DE3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9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6E8537-CEE0-4F37-A1EC-140A790516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71719</xdr:rowOff>
    </xdr:to>
    <xdr:sp macro="" textlink="">
      <xdr:nvSpPr>
        <xdr:cNvPr id="19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6A478C-AFDA-46A4-BA1E-83A00B0443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75E195-7ED8-4327-8FBD-9C835D4162A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C7E061-4BB8-44A1-9D10-71CF5C17E0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FAB177-E4EE-4A5D-9AA3-B138801BCD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75D427-A1E3-463D-829A-86B22D818A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DABA72-B615-4396-8C62-15F7927D3B2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1F56E4-901B-4E69-8608-587066A4121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8D57BB-42FC-4D2E-82E7-219CF3CCAF2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88630</xdr:rowOff>
    </xdr:to>
    <xdr:sp macro="" textlink="">
      <xdr:nvSpPr>
        <xdr:cNvPr id="19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C064FE-A6AC-40C5-B35A-00EBDC6119F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31D2CF-99F7-43F2-ADAC-C598AD2D86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78443</xdr:rowOff>
    </xdr:to>
    <xdr:sp macro="" textlink="">
      <xdr:nvSpPr>
        <xdr:cNvPr id="19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BAC4EE-5C1C-4F87-81F9-0234270CFFA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9EA1D3-1E2D-424F-A5B7-AFB7728B3B1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99608-BD23-4FD4-AA2A-1FD0BF149E4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9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F2F176-5BE7-4CC8-B501-FB74B92BFD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D58845-B672-418A-8C30-51DFD2E7A2E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F8D727-A264-48DB-89D1-AC1316E085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9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366BED-327B-4BE1-804E-C856E718CBA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6F16AA-0E93-468B-9922-8E359111D15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C4C9B1B-6E71-4497-997E-16BC867530B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9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F8EA4F-664F-4991-8C5F-4B26DDAE193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9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54F545-1575-48CA-BFAB-D5376BAE859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9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74AF72-B146-4BF5-AB60-F537D02110F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9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ECC87F-82C2-4D0D-B7DD-2B48C64FA0B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9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879358-5A23-41FF-B5D6-2FEB70BC669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9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B605AE-4A9B-4570-9286-BB0EDB5C3A3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9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840B0E-A85E-41DD-9879-BD1E4837F8D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85BEBA-A860-4F8C-8E1B-C8E8FF29E1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467BDB-1448-4628-8122-1CB4823408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57D531-EDE2-4C0A-900D-3A5EB52AC47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9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8C8EE0-22F6-4F63-AC2F-CB1928D200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9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5F6BF1-AA5F-45A6-BA6D-335759948B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AA43EA-3D33-4A8C-B4E3-6B3990758D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E598DE-609E-482B-9DB2-E4E192587CB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EB495D-9105-4954-99A6-CF1712C94D5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9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1BB4C6-80B4-4054-96AE-D4A55B3AC57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9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1DA450-36D9-485B-8A48-05AE0B6ECE5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ED4AC8-EAA9-4358-90E8-A21CB97DBCA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1CBA80-7F06-4414-977F-C2A66129AD9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9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8A87D1-9D09-44F5-906A-965C73B0E2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E21157-4134-4797-9EE7-8EA5D537913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F789BA-656D-4032-A62B-151B0EA26DE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9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487DA4-03D3-4089-9E75-0567A53259B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112DFB-EDB1-48ED-B463-E7096EAF5E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19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6B9AE3-5936-420F-8192-759CAD2D8B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19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8975BB-E9E5-4836-B7A8-8AE6C377117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9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D5A94B-46C6-4159-AF82-D43F17C4E9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19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66AC49B-DB76-404A-AD0E-8E932B5C6D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9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69F47C-70F7-4A48-B3DF-02686E2256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19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5FE31D-A869-4181-AA82-83DCC52A4D0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9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E3A6FD-84F7-434C-8331-399461CF6DE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19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95E9A6-1697-4251-A41B-E871DFB5F07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76BB94-48B4-4E24-855B-B742CC2C7A0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450F0E-3D30-4A36-90F1-CCC30D29C6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E57908-C09D-4936-BA59-9AE649C75D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9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B2A539-B7B6-4527-9DFE-B57DF31A6EA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19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15C4FA-589F-404A-841A-A4C8F84CBCE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148BDB-E631-472D-B38D-48760F8F217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8E5161-DE5B-41FB-99E7-953DA898182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19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9ACABD-EA8F-47FF-A746-75AC1527AE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0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6B4ABF-6AE4-404B-9ED0-C277324094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0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4A436-9D4D-459E-9E26-3D8C626E370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919A82-72D1-4399-BC33-784E597C0CC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0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2A8BA5-AF8A-4815-9544-20F107E3BB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218D19-581F-40A9-B44A-355EDEA5CBB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0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F316B4-7FB5-4BF6-9E83-BAC08EFCECC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278E2F-938B-4537-A1F7-DD208B5BBE7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76AC78-ED96-48E2-AAC7-5564754B8D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1AC449-CE41-4CBA-A2FD-C43EB40F6E1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20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05E6E4-31E9-4816-853F-5CD72C9289C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0FAB7D-7416-4C58-BE0B-7ACBA4959B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2FB17F-44BB-4463-A9D1-E4FBD7720B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A7A98C-302B-46BD-B033-77E91F7F73F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58AEF0-9F92-42FA-9C7B-50B4AD986E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1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783D5B-6304-4BD7-B927-91D37FA05AC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B6FD9C-3712-4936-BB3F-F6016F0420D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1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F3BB4F-0075-49D0-B78B-1DD4B695DB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4B5E08-2660-4178-8773-FD36D62E8F4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F9F410-AEB8-48D7-A5E8-0265ED6817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834FB4-7EF2-4002-8334-603F8EC584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20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836DE3-51B6-4723-B869-AB07636425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60AB27-964C-4048-9DA5-D496C12A8B5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933711-7E8C-4C40-B9BB-FB15561DA0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DD56A1-3F1F-4604-9512-510AE0A8B9F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4AFE22-E53E-4C81-8AAB-FFC77379EE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2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570C85-1D4D-4C6B-9B99-44C296DF21D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A2072-4362-48FC-B11F-223563F77E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228F39-8181-40F2-B321-E2399A9516C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CB472C-2160-41A9-B102-73B01D15263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4D0266-308A-4E71-BC3D-A407DF83C1A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5058DC-D41C-4DE5-9787-24083049AE4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20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2169BB-EB51-47BE-AAD0-C366ABCF231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E5D235-323E-4195-A291-D47CAF9982E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5BDF59-5AA5-4401-BCF4-6062C65D768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36468D-2AD1-4F3D-AC5F-462C7B9AF17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20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4E8A4A-A8F2-4D01-9682-88A4A5525B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20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ADC919-FF3A-4D2F-9614-6C715472A7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20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B0EC77-F366-4F65-A02D-0EA95BD9771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20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F1C5EF-068A-4782-996B-75DA3CC1F3E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F6EBEF-7A8D-4372-AF35-563F3E62EDB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0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D8AC37-10A1-4CF7-9241-7EF060D0934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E63914-F931-4B61-89D4-427251F4A50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20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988A1A-C95B-4F91-A261-15BD3DBE87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A207F3-B6D1-4844-B363-ADB2B17BB9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0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664E01-9479-45BF-A677-E215277D1E5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82C53D-50B2-4DF9-B383-9A2C45B6DAE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20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845061-FF5B-4BF1-94CB-06A9CAF0904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20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90BA28-3CCE-41CD-B0FE-D5978C2E41C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20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9374F3-FA0D-4D27-B1E2-ECB7AEA117C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20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CB0270-4A23-4A92-9BFD-DEF7FD4C0BF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616082-0B5D-4BD4-B541-0A48931990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0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84D4EE-E4E0-4C4C-B897-39693A99C0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3FD89D-8BE9-4C80-A1FD-52AA612F3CB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20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405F0E-B61C-4FFD-9854-2B37874BFB2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9EA908-66B1-4FE4-9A75-D2574080533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05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246857-FC0A-4E77-B4BF-E0D2F231F39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B63E53-2D59-4A7B-AAD1-4D8A65DE89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48A4BD-FC42-48F1-B793-B8927EF7EE5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DB2944-3ACF-42A7-B97F-DFB4F52397E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3455E1-E5BC-45AF-87BF-7A0FA4055E6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C494EE-685F-4CBC-ACB5-C19DDCA8389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0869BC-F118-4416-A49C-56917002868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B0284A-C806-41CB-AB70-9345F5A5A7F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8A17C4-6A6B-4BF9-9584-5B6F9D5DA9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20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EEBE29-AC4C-4295-8CA5-DFF824D594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4A5BDE-0FA6-4072-9A11-C46DDF05797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6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7CFFEE-8DB4-4512-B456-87B790B5F1E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608EA4-7300-44B2-ACA0-CD891560679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4EB2AC-8D9E-4768-9B91-71748518049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563481-2E3A-4B1F-98DA-148E4415B92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D2F562-DFD1-4882-A20D-CB2A6612EF4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D10982-005B-429D-BD81-F85E3BBA82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E9A4F0-A5D2-4395-8778-569102D341F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B2CC8F-B888-4A4B-BA0E-68890B79AFE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14A84A-D7BE-4688-A4B5-D3ED4F65122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20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8885FB-E572-4296-8F4F-FB0B37D46D5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0D1B85-7AE4-4D15-B81D-5AEEC160260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7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284D2D-579A-4E4F-9401-D83B1C01EE2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725C78-77DA-4308-B82F-C1B47AD9ADE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39FC27-D887-4B87-8D73-65FDC2E48E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6A4A04-F56C-4D41-A9D7-5F84844CF84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91380</xdr:rowOff>
    </xdr:to>
    <xdr:sp macro="" textlink="">
      <xdr:nvSpPr>
        <xdr:cNvPr id="20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08C344-346E-41AA-92A7-139F8855B18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91377</xdr:rowOff>
    </xdr:to>
    <xdr:sp macro="" textlink="">
      <xdr:nvSpPr>
        <xdr:cNvPr id="20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B125D5-43B5-4B26-953C-8D7B566F189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CF635A-1310-466F-A71C-BDA815365F3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44E390-338C-49D2-BDD3-9A46C2A7DB6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A7F603-8F23-4004-80FF-567454C7429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89700</xdr:rowOff>
    </xdr:to>
    <xdr:sp macro="" textlink="">
      <xdr:nvSpPr>
        <xdr:cNvPr id="20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70BC1B-FB95-43B9-82AB-438991DDF86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BF3788-07E3-47F4-AF57-3C601D7E89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89696</xdr:rowOff>
    </xdr:to>
    <xdr:sp macro="" textlink="">
      <xdr:nvSpPr>
        <xdr:cNvPr id="208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52A17E-3FAC-43FE-9144-1BF7DAC6627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0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F03622-558E-4B9F-AB7F-572BEE8F861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20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CE5B3B-7B17-4A25-AF88-C21C384B308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20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650430-1829-4687-AF46-A81121DA2B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86286</xdr:rowOff>
    </xdr:to>
    <xdr:sp macro="" textlink="">
      <xdr:nvSpPr>
        <xdr:cNvPr id="20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109554-E089-4274-80B1-E6D7411B390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86283</xdr:rowOff>
    </xdr:to>
    <xdr:sp macro="" textlink="">
      <xdr:nvSpPr>
        <xdr:cNvPr id="20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BA2084B-1B00-48EE-AFF9-ABCE243928F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52384E-43AD-43EE-9DE6-DBDEA78ECA3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0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FAF990-293A-4D9E-81D7-7EB7BC78D16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B4B12B-5D5F-460B-A329-74998D947C6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20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C10833-068C-43CA-B98A-5EBEE63DD7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0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3C98C0-8839-4A47-A4B7-A57DE4242B9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09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B39E53-E3DF-4E20-8C2C-97EA69AEC32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1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ED2F6B-FF6A-4521-9050-B3999CB6F72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21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63FECF-B2E6-476A-8C13-8767AFBF067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21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A1506-37F8-4AC7-BEFA-F89821E3DA3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88526</xdr:rowOff>
    </xdr:to>
    <xdr:sp macro="" textlink="">
      <xdr:nvSpPr>
        <xdr:cNvPr id="21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87E6F5-65CF-4115-918F-27C41D21D36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88525</xdr:rowOff>
    </xdr:to>
    <xdr:sp macro="" textlink="">
      <xdr:nvSpPr>
        <xdr:cNvPr id="21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ADD6B7-E8F2-42CB-A9E6-26857863369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1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268793-923B-4F3B-A27E-44FA3D2ADA09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1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AD9907-61F1-4927-83D4-BEC8FCB07D6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1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DC1483-62A4-4B27-83F2-463746E08FA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84606</xdr:rowOff>
    </xdr:to>
    <xdr:sp macro="" textlink="">
      <xdr:nvSpPr>
        <xdr:cNvPr id="21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E8C267-480B-434D-A535-8AAA1484DF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1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E0DCD9-5D86-499E-94DB-BF706B7FB9D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84602</xdr:rowOff>
    </xdr:to>
    <xdr:sp macro="" textlink="">
      <xdr:nvSpPr>
        <xdr:cNvPr id="211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A152BB-3EBC-4FF7-BFE5-1A83B095BA2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84605</xdr:rowOff>
    </xdr:to>
    <xdr:sp macro="" textlink="">
      <xdr:nvSpPr>
        <xdr:cNvPr id="21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366D83-F574-4924-B35A-9FAD5983CAC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E15DC88-0493-4160-A700-82D99F9D3D5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37B985-F880-4905-ABDA-DF30302EF71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21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F935F7-F184-4BD6-A6BC-BFA8134219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523544-384A-4B6C-A829-D41BA9820C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4F6C99-E4C1-466E-861A-CDF43C6899F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21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583369-6A5D-45B3-A967-6F6F0CEBF55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ECE6D7-F81C-480E-8D95-FA96263644F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C2C49-3E6E-40EF-AEC7-1B96B8E50E0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21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975B78-B483-4D66-A44C-016B052327A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21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CAF3AD-0E30-412C-9CB3-ACC08F7EA44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21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CD3706-B1D1-4B6F-8202-CB565D68E1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21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B7C0FC-981B-4E09-B87A-D2972E7419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21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D00002-6091-410C-B38C-92FA2D3B04D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21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850E0A-623A-474C-B1A7-7390FB6C4580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21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121303-99FC-4412-A69B-0B49250B2B4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44965F-DEF0-4113-B997-7FA48235CD5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923421-4DD6-4F04-81F5-E2C075C5C36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C298B4-386E-45B0-AD03-25A256117FD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213E77-FFA7-4771-954B-C384CF42694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041AD3-B9C3-4AEF-B078-93D5D76300F6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51ED1F-FE56-42E5-9512-04A30C4D89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92E47B-3476-4452-B98C-56798880C6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D9C381-D1ED-4646-8304-C2FB03CDC15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65AA07-81EC-4940-AAD1-86BDFAE42C6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40A1C0-514E-4F1B-98C1-47E0B4A4A54B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999E65-FE69-4DFD-B6CE-796381DC74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2638C0-A6AE-4AEC-BFF0-12975C65F6C1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21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B0AD8C-A0AB-485F-832B-0BA5132ED5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CA1263-1E50-4C82-83D8-6EE14D9C158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733967-49CC-44FE-8FDA-80F69FDDCCA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21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6B9B50E-F380-4613-A18A-64640ED9364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F32CEC-7B66-4215-989F-6C7161DB3AD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89698</xdr:rowOff>
    </xdr:to>
    <xdr:sp macro="" textlink="">
      <xdr:nvSpPr>
        <xdr:cNvPr id="21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A7BB4F-E903-42B7-985A-0B138B80C59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91431</xdr:rowOff>
    </xdr:to>
    <xdr:sp macro="" textlink="">
      <xdr:nvSpPr>
        <xdr:cNvPr id="21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F3BAA2-38D9-4A66-9765-CACAAB61AA5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21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4E6555-0A51-4C17-895E-A91E3DD8A0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84604</xdr:rowOff>
    </xdr:to>
    <xdr:sp macro="" textlink="">
      <xdr:nvSpPr>
        <xdr:cNvPr id="21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77399F-A320-4ED3-96E6-4D26777EC14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21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3F5CF5-B484-4720-91CF-CAFAAC7F820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86845</xdr:rowOff>
    </xdr:to>
    <xdr:sp macro="" textlink="">
      <xdr:nvSpPr>
        <xdr:cNvPr id="21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93723A8-C3CD-4B5E-BFEB-F3EA85E98EF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21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7FD043-5240-4FFF-A483-D3EDFB5BF2C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81244</xdr:rowOff>
    </xdr:to>
    <xdr:sp macro="" textlink="">
      <xdr:nvSpPr>
        <xdr:cNvPr id="21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836A16-1903-4A17-A224-28412A116483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A6D90C-297C-4852-9DA0-6B2ACA13A47D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EF7A9F-6861-48BA-9323-3741236B47F4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043603-CC18-4D11-893F-128A482F7D9C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DFAF16-4572-4DC5-AF87-ECC1E6B8241A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7FD2BE-A08F-4193-9B38-D12710E696A7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D80FE3-FA61-4442-AEEB-16F0F09E6AAF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F62ECB-D9F6-424D-BFD0-D5872FCD0138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98155</xdr:rowOff>
    </xdr:to>
    <xdr:sp macro="" textlink="">
      <xdr:nvSpPr>
        <xdr:cNvPr id="21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C438BF-5DF3-4586-A296-48513234EA1E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25C303-A9A1-4459-BC4B-F48248B7C9D2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602</xdr:row>
      <xdr:rowOff>0</xdr:rowOff>
    </xdr:from>
    <xdr:to>
      <xdr:col>13</xdr:col>
      <xdr:colOff>304800</xdr:colOff>
      <xdr:row>603</xdr:row>
      <xdr:rowOff>87968</xdr:rowOff>
    </xdr:to>
    <xdr:sp macro="" textlink="">
      <xdr:nvSpPr>
        <xdr:cNvPr id="21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8C10DE-AF7C-4D69-9BAF-25B594213165}"/>
            </a:ext>
          </a:extLst>
        </xdr:cNvPr>
        <xdr:cNvSpPr>
          <a:spLocks noChangeAspect="1" noChangeArrowheads="1"/>
        </xdr:cNvSpPr>
      </xdr:nvSpPr>
      <xdr:spPr bwMode="auto">
        <a:xfrm>
          <a:off x="13163550" y="247173750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5FACF5-03CE-4553-B6BE-8C2D9F18093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F1AA0A-BE9F-456B-8A67-E16DE1D5AD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12F492-89D1-4371-BB4D-5DD8A9417B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197A-B552-43A2-B3CD-BDDFEA0A657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6BB89-6E45-4CC9-A759-D75A9E75EA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11FDE-CFD9-4AE1-A576-42507ECB5A9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15A489-7EA3-435D-A9A3-8737670658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3E7785-A393-4AC0-ACB1-E1C53863D8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1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68044-1BCF-4BBE-88D2-8928D2633A4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1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2FC177-76A5-486E-9552-D11DE440281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94A876-F759-4A22-8CF9-AA30248E80E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50F2C0-8218-4219-BBC2-5EC189581DB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4F513A-6372-49FF-9DF4-1F750FCF6EC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BF6205-913E-498C-9D55-FD8C904C67E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CD9524-210C-40EC-AE02-771F246497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65A0-B4BF-41C9-85AC-8F69960FE6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AD89DF-8D12-40BF-B72D-B55B5B4C47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81B010-9D65-430B-8A52-C049FAFE51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1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D3B691-E3E7-4099-9902-F4DF1B057D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1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D90111-8C02-4E9E-81D5-33B49B126DB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1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1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4292"/>
    <xdr:sp macro="" textlink="">
      <xdr:nvSpPr>
        <xdr:cNvPr id="21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9198"/>
    <xdr:sp macro="" textlink="">
      <xdr:nvSpPr>
        <xdr:cNvPr id="21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2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1438"/>
    <xdr:sp macro="" textlink="">
      <xdr:nvSpPr>
        <xdr:cNvPr id="22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75442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5FACF5-03CE-4553-B6BE-8C2D9F18093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F1AA0A-BE9F-456B-8A67-E16DE1D5AD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12F492-89D1-4371-BB4D-5DD8A9417B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197A-B552-43A2-B3CD-BDDFEA0A657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6BB89-6E45-4CC9-A759-D75A9E75EA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11FDE-CFD9-4AE1-A576-42507ECB5A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5836"/>
    <xdr:sp macro="" textlink="">
      <xdr:nvSpPr>
        <xdr:cNvPr id="22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15A489-7EA3-435D-A9A3-8737670658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5836"/>
    <xdr:sp macro="" textlink="">
      <xdr:nvSpPr>
        <xdr:cNvPr id="22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3E7785-A393-4AC0-ACB1-E1C53863D8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8076"/>
    <xdr:sp macro="" textlink="">
      <xdr:nvSpPr>
        <xdr:cNvPr id="22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68044-1BCF-4BBE-88D2-8928D2633A4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8076"/>
    <xdr:sp macro="" textlink="">
      <xdr:nvSpPr>
        <xdr:cNvPr id="22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2FC177-76A5-486E-9552-D11DE440281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94A876-F759-4A22-8CF9-AA30248E80E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50F2C0-8218-4219-BBC2-5EC189581DB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4F513A-6372-49FF-9DF4-1F750FCF6EC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BF6205-913E-498C-9D55-FD8C904C67E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CD9524-210C-40EC-AE02-771F246497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300930"/>
    <xdr:sp macro="" textlink="">
      <xdr:nvSpPr>
        <xdr:cNvPr id="22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65A0-B4BF-41C9-85AC-8F69960FE6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5836"/>
    <xdr:sp macro="" textlink="">
      <xdr:nvSpPr>
        <xdr:cNvPr id="22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AD89DF-8D12-40BF-B72D-B55B5B4C47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5836"/>
    <xdr:sp macro="" textlink="">
      <xdr:nvSpPr>
        <xdr:cNvPr id="22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81B010-9D65-430B-8A52-C049FAFE51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8076"/>
    <xdr:sp macro="" textlink="">
      <xdr:nvSpPr>
        <xdr:cNvPr id="22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D3B691-E3E7-4099-9902-F4DF1B057D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711</xdr:row>
      <xdr:rowOff>0</xdr:rowOff>
    </xdr:from>
    <xdr:ext cx="304800" cy="298076"/>
    <xdr:sp macro="" textlink="">
      <xdr:nvSpPr>
        <xdr:cNvPr id="22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D90111-8C02-4E9E-81D5-33B49B126D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75442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AC46F1-E73E-42E0-892C-7D5BA9334C6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2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86DD35-3A96-4A4C-9EFD-439DF765CEB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B99AA9-7DE2-4EBD-9491-FF816B48D6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2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40F719-4C90-4EC2-8DAC-63469686BE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2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9EC3E-2C97-483D-8FFE-2163905A959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A8F25D-2874-4F5F-95B5-0D11F8DECA0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234D-5B7B-4AC4-838B-342BC38311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09D0E4-AE3C-442C-8692-02F83A3204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3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399CC3-8EAF-4B34-8D95-75D450EB92F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83F31-5701-414C-9A69-3D8A40B3FF7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3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73D1D3-0001-4E3B-A357-890075B1332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A6E571-5015-428A-9EDA-24C52EB010A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3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CBE3D4-FD26-4B13-935F-4326CC545CF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3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EFE7CB-21E5-4136-8495-42A987B49B9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4EC844-20A8-4026-95DF-67E1B86C7E5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3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F6DFBE-73B9-410A-BFA3-FE883A65B97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9DFF9F-8E48-417C-B141-3A0C11E944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D6B112-3487-4DD0-B2E3-6CC944306C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4A79CD-F971-4042-B27B-D29B67FDAA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4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25DA2D-BF0D-41E7-AF01-B53DAFE1DE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4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4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5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5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5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5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4290"/>
    <xdr:sp macro="" textlink="">
      <xdr:nvSpPr>
        <xdr:cNvPr id="225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9196"/>
    <xdr:sp macro="" textlink="">
      <xdr:nvSpPr>
        <xdr:cNvPr id="225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1438"/>
    <xdr:sp macro="" textlink="">
      <xdr:nvSpPr>
        <xdr:cNvPr id="226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846105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AC46F1-E73E-42E0-892C-7D5BA9334C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6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86DD35-3A96-4A4C-9EFD-439DF765CE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B99AA9-7DE2-4EBD-9491-FF816B48D6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6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40F719-4C90-4EC2-8DAC-63469686BE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6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9EC3E-2C97-483D-8FFE-2163905A95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A8F25D-2874-4F5F-95B5-0D11F8DECA0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5834"/>
    <xdr:sp macro="" textlink="">
      <xdr:nvSpPr>
        <xdr:cNvPr id="226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234D-5B7B-4AC4-838B-342BC38311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5834"/>
    <xdr:sp macro="" textlink="">
      <xdr:nvSpPr>
        <xdr:cNvPr id="22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09D0E4-AE3C-442C-8692-02F83A3204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8076"/>
    <xdr:sp macro="" textlink="">
      <xdr:nvSpPr>
        <xdr:cNvPr id="227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399CC3-8EAF-4B34-8D95-75D450EB92F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8076"/>
    <xdr:sp macro="" textlink="">
      <xdr:nvSpPr>
        <xdr:cNvPr id="22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83F31-5701-414C-9A69-3D8A40B3FF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7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73D1D3-0001-4E3B-A357-890075B1332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A6E571-5015-428A-9EDA-24C52EB010A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7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CBE3D4-FD26-4B13-935F-4326CC545CF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7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EFE7CB-21E5-4136-8495-42A987B49B9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7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4EC844-20A8-4026-95DF-67E1B86C7E5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300928"/>
    <xdr:sp macro="" textlink="">
      <xdr:nvSpPr>
        <xdr:cNvPr id="227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F6DFBE-73B9-410A-BFA3-FE883A65B97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5834"/>
    <xdr:sp macro="" textlink="">
      <xdr:nvSpPr>
        <xdr:cNvPr id="22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9DFF9F-8E48-417C-B141-3A0C11E944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5834"/>
    <xdr:sp macro="" textlink="">
      <xdr:nvSpPr>
        <xdr:cNvPr id="227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D6B112-3487-4DD0-B2E3-6CC944306C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8076"/>
    <xdr:sp macro="" textlink="">
      <xdr:nvSpPr>
        <xdr:cNvPr id="22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4A79CD-F971-4042-B27B-D29B67FDAA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697</xdr:row>
      <xdr:rowOff>0</xdr:rowOff>
    </xdr:from>
    <xdr:ext cx="304800" cy="298076"/>
    <xdr:sp macro="" textlink="">
      <xdr:nvSpPr>
        <xdr:cNvPr id="228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25DA2D-BF0D-41E7-AF01-B53DAFE1DE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846105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2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258497-1344-4F2E-BFDD-2F334E1D01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2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EA257E-AFE2-45D2-8078-548BE88F68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2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92422A-77B8-4FCB-A97F-6095D7AF902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2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F9D465-4581-443D-A7D2-0EAC62C96B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2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A4846E-3918-4EAA-B257-9F8C2A33EA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2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5C21DF-277D-4F9E-A5CC-2703606F24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2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C36D0E-6A14-4E14-9FDA-CF390FC6394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2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E3D7D1-BBA4-42F1-98FF-8F24F23D9CD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2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3BB4F2-54DF-4EFB-979A-2336152543E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2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EFEE01-84D0-4EE3-94D2-18BDC16C5C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2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81FF75-06D3-44AC-BF29-7EFD918413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2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0203A3-20E7-4C4D-9EFF-23B6D0630C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2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04DB15-7F7D-4FDC-84BD-B37565368A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2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1AF062-8BE8-4389-9FA1-30686D947F1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2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69C1D9-2983-4EE9-BEC8-8FD786C280E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2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0B131D-176C-4701-80D5-018D4449A34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2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BD6FB8-0BD8-460F-8F8A-5EE20DCEF8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2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2FB7A3-189E-40F0-8D8E-263E723BD6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4138EC-DFD2-4404-8851-C478DAF8068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8EB27E-E019-40A3-9592-47B77FC2FC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190F4A-EAA4-46CF-8BDE-21114AC0E9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7C841A-7C10-4C8F-A917-24E6856ACA8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669837-5BFF-453D-BE0A-D9D28EE98C6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429C6C-D6F4-4F1B-B722-6C08B0E35B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6F5028-491B-4653-AFD8-84E78082FD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3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DD78E6-7FA8-457B-816D-B3E4F06523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3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E46C0F-5C20-4B9B-8E10-909F39B0FF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3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648F54-394A-4429-B639-24A62D1F8A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3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E96116-99CD-446A-BA11-D772AFDE74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3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75F507-0FB1-4B50-A0AF-8D42CF1E20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3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6B95F7-27CE-4E62-BB97-FA0C02F7683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3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88ADF1-6001-41BA-B8D3-FFF7186A42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3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7DE9E1-FA1E-4FB9-8CD0-B5E42B21E2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3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9322CC-E901-4319-B307-7F78B7D50D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3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15E8F-B16C-480E-A68D-02AD710CDE4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3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61F8F2-47C8-449F-A328-B18B99EA8E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3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501C31-95EE-47D0-A2F1-9042B79EF4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3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5B5AF8-BFD1-4A27-BF1B-FDD68F05A0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3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F2F383-4500-4437-80EB-38C3F0FE8B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3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E4607-2DE8-4D8C-A797-F997E0596C5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6ADE19-BEE2-4C03-A17F-14D92F108A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C5378B-D761-470F-92D2-1304044F24D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D329D7-E5BE-424B-8365-7DFEC94715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B8B498-316A-4B2E-B08B-4F9B006BD93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2BDA04-1E25-41BA-B751-5D680E8C868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9AFABD-6F01-4693-8A62-D5902FB0A58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A3CEF8-BD98-4D06-AA90-B6520521BCD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3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FC04F0-DCA9-4B6C-9548-C8BB07405AE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275B54-52E5-4744-AFEB-F3B98459121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3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EF7D2B-CDF9-49C9-9FEC-E3F388E4F78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C2C25E-F411-4A5D-BF7A-CC6BA607AA3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AD3629-1293-45DC-9464-3370B065EAA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3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37F667-7AED-4019-9C48-3FEDE702BDD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D49C85-DCD1-4B7B-B9D8-5407CED477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4DDBCF-1D81-4DBD-BF0E-1A219F01783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3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59D945-9C67-47E8-BE56-E29BF6E46A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761D73-8257-41A6-953A-76D555A6EBF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CE02E6-02CB-4A21-84F2-FC0369C38A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3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56850A-E991-4FD6-8E98-C17BCA7DD1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3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E14E49-8786-4739-A13F-39A8662B19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3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327AC8-C1B6-4D83-9185-ABEA82E718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3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E84637-94DC-4697-BA8A-50C905FA681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3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853CAF-2024-435A-938A-8889ABCBAF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3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155D6F-AB72-40FC-BC7B-8039D513C37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3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8ABCD9-6634-40C3-92F6-2BD32B5A796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C57420-1920-4D8D-B74B-8AE8F2791CC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5D453E-737D-4379-A9C2-35B27D9024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5D274-B312-43D5-9943-18D1620720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5DD5F9-D44A-4E47-8F29-05E8B1C9F3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D3CBB3-586B-466E-8EF1-EB3C2BDBBA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BB2A68-A4AB-47B3-801B-2F9F6AD0649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F67D47-3F22-46B7-8D42-16B7831F44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9F536C-0D20-4E45-B697-63574E07CBD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3BAB41-6E01-4599-9E72-B8A4EABB7B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DFE26C-6C68-4494-84D4-B4D96CD7FF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5337E-D33C-4F2D-9450-E50E92311BB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20099A-10E8-4233-A060-B5E327E385A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3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F0523C-8394-4C78-AFAE-3C37C6130D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129D10-8401-4E49-8BBB-4769F6BC96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CBFB34-974C-4D71-9A79-3A9F6A286DD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3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FAD5DF-E0DD-47C5-B917-647824D70DB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BF87D7-F3A5-4D45-A704-4D0A534A37D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693A52-F1CA-4240-8A44-0270548CA5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3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5A6046-EA0B-4E48-A4DF-C82BBC2CE43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3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83BEB2-3526-410F-9EA4-1EB59E5729D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3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06CE55-99DF-40DF-87C4-0AF6CA43948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3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6508CB-B1C7-4E51-BF01-B4CD35E7CCA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3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E5E7A-1F03-47BC-A281-6AF5F8625AC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3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3FA5B7-3EE7-42D0-AA8B-8BABB3F45F7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3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D0FDCC-7A2E-455C-9C69-35DAD26CE65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19F233-9858-43FE-8809-697E523F9D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7120EA-CB54-4C8B-AD03-B0CAA446C99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D6A473-8773-4E61-BC2C-94E9CCD101A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2B2CA7-74FB-4F46-AEE8-A55BDE706BE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2750DF-E23D-4F13-83DD-A700F84CB3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4ED1C1-482B-4D4C-9BEF-14E68F1B505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04A509-8660-4B85-9673-1F17AD8B098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3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A721E9-CB90-4840-B5EF-07C8F7314DA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508CE6-F9FA-46F4-A085-E284ED730B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3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40DDB1-7FBE-4972-817A-CA01E8CDBB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3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5FACF5-03CE-4553-B6BE-8C2D9F18093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38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AC46F1-E73E-42E0-892C-7D5BA9334C6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3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F1AA0A-BE9F-456B-8A67-E16DE1D5AD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38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86DD35-3A96-4A4C-9EFD-439DF765CEB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414F38-FBA3-4D6A-964D-AB45069D36C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3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D1D29D-21E6-4CD3-B725-A0495B546B9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9C8367-5DD8-4101-B3AE-0D24D5FC81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3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4D0C8F-A1E2-443E-8364-24BC8D389C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0A7C29-2D1B-460A-8095-1A40FF9894E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3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928C7F-CD2F-45E6-8BB9-CD9CD10680A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42EB1C-7CC8-4B55-B7B0-078382C2D8E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3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12F492-89D1-4371-BB4D-5DD8A9417B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39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B99AA9-7DE2-4EBD-9491-FF816B48D6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3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197A-B552-43A2-B3CD-BDDFEA0A657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39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40F719-4C90-4EC2-8DAC-63469686BE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30B7F2-334B-4027-AC40-097D4F1C4A9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3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E6101C-028A-4876-9A8D-9CCF1C7315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3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01D580-D3E8-43AA-B1B7-6BB839ECA7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4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79EDD8-58CE-48B2-BFC6-DE23DA6963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8C89D-51F5-4EDF-B531-9710529BF04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97DA16-DB10-46BC-9B23-CFA608960CF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877FCE-1AB4-4CD0-847A-8B1B0A10831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6BB89-6E45-4CC9-A759-D75A9E75EA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0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9EC3E-2C97-483D-8FFE-2163905A959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11FDE-CFD9-4AE1-A576-42507ECB5A9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A8F25D-2874-4F5F-95B5-0D11F8DECA0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F14BC5-F76B-4CA1-A528-1B3D94F1D34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5E1897-4B6B-4231-8CED-D335EF3A69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5C4B37-F106-4249-90BC-7FD5DC6CD4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4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84D103-5966-43A5-B0E2-64E83F490F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2B3FB4-9C02-4DD6-81B1-EEA4936740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E88B70-3E17-4482-91F3-2791063F87F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C677D9-1E5B-4042-9F10-909E73E1674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4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15A489-7EA3-435D-A9A3-8737670658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41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234D-5B7B-4AC4-838B-342BC38311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4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3E7785-A393-4AC0-ACB1-E1C53863D8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4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09D0E4-AE3C-442C-8692-02F83A3204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511F75-1CCF-4CF1-8210-242635825CA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30389F-1905-4436-952B-251B247EBE1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B24852-B946-429A-81A7-15FB23F2F4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4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DDA7DA-C1F3-4649-8556-04066D10454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6B9895-8942-43D5-842E-62F52E0CB37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8A884D-BFDF-4F5D-949D-9F41ACA1573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8C20D8-246A-4F8D-8ACB-3D4B34DF34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68044-1BCF-4BBE-88D2-8928D2633A4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399CC3-8EAF-4B34-8D95-75D450EB92F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2FC177-76A5-486E-9552-D11DE440281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83F31-5701-414C-9A69-3D8A40B3FF7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81BA7B-159B-45EC-8F8B-4FEDD93FA1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379547-A80F-4750-A587-141B4E128E6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595005-2ADB-4C02-A252-FA7A1A3738D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4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99A363-5A1B-47A5-8187-DBCE7EAB9E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763DE6-C847-4150-9EF8-9A3F16E5F4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3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84E7CF-046A-493F-961B-FC0108BBBF8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308A51-61F7-41EB-8F38-04354F347BF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94A876-F759-4A22-8CF9-AA30248E80E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73D1D3-0001-4E3B-A357-890075B1332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50F2C0-8218-4219-BBC2-5EC189581DB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A6E571-5015-428A-9EDA-24C52EB010A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3CA9C3-7713-4D61-9FEE-FF25EE4C1B1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18AC6-218C-4545-BB57-43A9C0A298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E8742F-2749-4FA4-9B5C-2C68DCAD106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4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8EFB4A-495A-46E4-9A62-946BD958C88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806E93-EF2D-4B15-9A58-BCDC74889E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4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CB895F-3771-4BD6-B571-B9387BE954D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C2C3FC-C1F9-4AD4-9E3A-FFA28C8024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4F513A-6372-49FF-9DF4-1F750FCF6EC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CBE3D4-FD26-4B13-935F-4326CC545CF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BF6205-913E-498C-9D55-FD8C904C67E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EFE7CB-21E5-4136-8495-42A987B49B9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69309D-2958-43BD-9A66-CB51DAF5FF7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AA0D0B-7D51-47D4-A640-F8E7521509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A8252B-831C-41DC-9431-FCF0B52C873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4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AABD25-708B-40B8-8C48-1A5602097E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DA2FE4-1E8A-4B3F-9A2D-B26FB72094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5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FF684-F8DE-44BB-9C2D-79ACF3ABAF9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CE8444-153D-4FA4-BD0A-B8DBBE881FF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CD9524-210C-40EC-AE02-771F246497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4EC844-20A8-4026-95DF-67E1B86C7E5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4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65A0-B4BF-41C9-85AC-8F69960FE6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4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F6DFBE-73B9-410A-BFA3-FE883A65B97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02ECD8-57D0-48A7-A700-D293D1CD0D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75F9FA-5FF6-4332-9B40-80BF7E925E0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742D7C-8DE2-4B74-9F04-85DD784895E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4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F5DA43-DBDA-49CC-89B7-F075EF0E9C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4C51DA-D6CF-4C6C-A9E7-F69960055F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46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8CAEC0-ECCB-4560-BD98-B75BCD1B707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E901C5-6EFE-4ADE-87D7-8D9AE6C0C1C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4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AD89DF-8D12-40BF-B72D-B55B5B4C47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4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9DFF9F-8E48-417C-B141-3A0C11E944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4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81B010-9D65-430B-8A52-C049FAFE51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4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D6B112-3487-4DD0-B2E3-6CC944306C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A12D99-2928-47A7-A101-F77EE932D3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7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4C7965-A331-4A4A-BB68-70B292C681B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118AF6-4AC7-4BD6-844B-8A4A85CF94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4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C5A558-D1BB-47E2-BC94-302ECD2810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E3132B-C278-4E0C-90B7-2AF4EFB772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7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99A6FE-C440-4377-9970-1687F9D255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6A881C-B91C-4B81-83C6-F987B11D565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D3B691-E3E7-4099-9902-F4DF1B057D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4A79CD-F971-4042-B27B-D29B67FDAA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D90111-8C02-4E9E-81D5-33B49B126DB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4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25DA2D-BF0D-41E7-AF01-B53DAFE1DE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57CD57-E987-435A-9074-B7786809BE0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8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8DE569-F93E-488B-A1EC-99A8A124B46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0701A7-6C46-47E8-AFA9-48D8C52E51A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4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85FE9C-F56D-456F-8302-AECE69A64DD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63231B-8E21-43A6-BF20-910D46D48D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49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8FBD2B-6621-4967-8F2B-08DDC778952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4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F925DE-6F3B-44CB-A268-FDDCFBF5CE7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76630B-5E86-4538-8DEB-99D8BED3B3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9A29C0-9080-451A-A8F9-2C79298C72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4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6EDBAF-23E7-4346-904A-909ABEAF1F8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592BED-A3D9-4D60-9DC2-815B5F2F26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71FE09-CAC6-445A-A39A-400581D1D1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4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E60534-B69C-475B-BBFD-74786DA6BB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8680E7-BB53-47B5-ABE1-8DF59CB9854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4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6515EE-4824-4536-8428-A18A70D6515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5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E26E42-35E0-43B0-BCE3-D2421AD56C3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5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7FF18E-CFB2-47DC-86BC-0AB475A238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5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551AF0-4F38-47D5-807F-F415F60A2B6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5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CF71DA-032D-45B9-8F1D-B74CCD53F6A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5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1201A3-A570-4A35-8A36-3C2044AC7C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5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F278F8-7515-4133-B5A6-AB78CE10C0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5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FE11A2-BBF5-4024-8FD9-9185CCF8113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E57516-5C98-420B-A3B2-ACC7707F8CA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733E12-47A0-4E63-9953-1EB3159107C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E740C0-8529-493E-8B39-5E233C9AB4A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4E228C-C4A5-47B6-94F6-ED3BB6AC6B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D9012B-9C93-489B-A67A-BEA2E26C484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D596CE-0506-48FF-A714-DE56726688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A59870-6188-4343-8545-FD02CAB2278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73F1E9-D2D6-4041-A03A-87EF120392E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005451-B7F6-41B1-9D3F-4407F4459B9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49A52D-6779-496E-BE43-8E80A2DEA91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CD4C88-FA8A-4B05-8677-CA4FCC21DE8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B485D9-B72D-4B4A-8121-628E4234DB3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5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F36991-8282-43C3-82FE-4DB9590476B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D8762D-9BEC-438F-A73C-EDA2F4D1375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AF93A4-9099-4529-B63C-1252932145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5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B2AF4D-26AF-4DE3-A18F-E1415106161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0BFE4B-9540-4094-84F9-6D0E5DFC408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A5805C-CBFF-48A7-9BAA-0862432235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5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CBCE68-4BC0-4641-BF42-CFCCCC1FD1B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5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69A977-E402-4D2B-A7F0-CAF7CE22895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5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0E7140-0458-446F-BE7D-E81F06438C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5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391089-4A83-4CDC-A9B7-6D889DE4104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5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9FFE6C-0011-42FE-B8CA-E50CA0BFE88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5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97DC8F-EAB0-4C1F-A318-E64FF15CB2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5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C9BE5E-4AD6-430E-AEEA-875B6BC6E1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49EBD1-CEC9-46AD-8D8E-FE93FD95F5C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CB1EF8-5952-4BF4-83BE-BEB7A1292AC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84CBD3-BF8B-4A77-93A8-F040D17390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01E0D4-B8A9-41BC-B888-957EAAE406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842771-5C67-49C3-A9C6-FB5841C1C27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418E1B-29B1-4823-A726-F300E653F26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90E5D3-A387-4F55-AB5D-AFE9C7E4AA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5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48EB4D-BA12-4964-991D-C8D75738A2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7AD789-7B92-4621-8C02-85CB25CC18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5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4AB0B9-E20D-4CDE-8C12-488104E6543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5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5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5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5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5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5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5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5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5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5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5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3086"/>
    <xdr:sp macro="" textlink="">
      <xdr:nvSpPr>
        <xdr:cNvPr id="25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819"/>
    <xdr:sp macro="" textlink="">
      <xdr:nvSpPr>
        <xdr:cNvPr id="25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5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2"/>
    <xdr:sp macro="" textlink="">
      <xdr:nvSpPr>
        <xdr:cNvPr id="25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5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233"/>
    <xdr:sp macro="" textlink="">
      <xdr:nvSpPr>
        <xdr:cNvPr id="25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5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2"/>
    <xdr:sp macro="" textlink="">
      <xdr:nvSpPr>
        <xdr:cNvPr id="25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543"/>
    <xdr:sp macro="" textlink="">
      <xdr:nvSpPr>
        <xdr:cNvPr id="25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356"/>
    <xdr:sp macro="" textlink="">
      <xdr:nvSpPr>
        <xdr:cNvPr id="25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5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5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5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6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6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6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6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6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6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6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6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6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6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6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6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6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6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6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6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6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6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4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6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6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6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5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6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6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6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6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6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6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6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6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6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67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6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6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6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6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6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6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6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6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68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6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6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6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6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6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6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70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7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7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7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7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7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7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7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7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7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71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7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7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2"/>
    <xdr:sp macro="" textlink="">
      <xdr:nvSpPr>
        <xdr:cNvPr id="27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290"/>
    <xdr:sp macro="" textlink="">
      <xdr:nvSpPr>
        <xdr:cNvPr id="27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7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3"/>
    <xdr:sp macro="" textlink="">
      <xdr:nvSpPr>
        <xdr:cNvPr id="27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09"/>
    <xdr:sp macro="" textlink="">
      <xdr:nvSpPr>
        <xdr:cNvPr id="27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7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7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8"/>
    <xdr:sp macro="" textlink="">
      <xdr:nvSpPr>
        <xdr:cNvPr id="27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196"/>
    <xdr:sp macro="" textlink="">
      <xdr:nvSpPr>
        <xdr:cNvPr id="27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73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7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7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7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7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7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1438"/>
    <xdr:sp macro="" textlink="">
      <xdr:nvSpPr>
        <xdr:cNvPr id="27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74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9"/>
    <xdr:sp macro="" textlink="">
      <xdr:nvSpPr>
        <xdr:cNvPr id="27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5"/>
    <xdr:sp macro="" textlink="">
      <xdr:nvSpPr>
        <xdr:cNvPr id="275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8"/>
    <xdr:sp macro="" textlink="">
      <xdr:nvSpPr>
        <xdr:cNvPr id="27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7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7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7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7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7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7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7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7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7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7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7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7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7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7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7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2611"/>
    <xdr:sp macro="" textlink="">
      <xdr:nvSpPr>
        <xdr:cNvPr id="27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4344"/>
    <xdr:sp macro="" textlink="">
      <xdr:nvSpPr>
        <xdr:cNvPr id="27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7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17"/>
    <xdr:sp macro="" textlink="">
      <xdr:nvSpPr>
        <xdr:cNvPr id="27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7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758"/>
    <xdr:sp macro="" textlink="">
      <xdr:nvSpPr>
        <xdr:cNvPr id="27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9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7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7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7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7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11068"/>
    <xdr:sp macro="" textlink="">
      <xdr:nvSpPr>
        <xdr:cNvPr id="27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11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8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881"/>
    <xdr:sp macro="" textlink="">
      <xdr:nvSpPr>
        <xdr:cNvPr id="28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90268425"/>
          <a:ext cx="304800" cy="30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258497-1344-4F2E-BFDD-2F334E1D01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EA257E-AFE2-45D2-8078-548BE88F68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458"/>
    <xdr:sp macro="" textlink="">
      <xdr:nvSpPr>
        <xdr:cNvPr id="28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92422A-77B8-4FCB-A97F-6095D7AF902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0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F9D465-4581-443D-A7D2-0EAC62C96B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A4846E-3918-4EAA-B257-9F8C2A33EA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458"/>
    <xdr:sp macro="" textlink="">
      <xdr:nvSpPr>
        <xdr:cNvPr id="28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5C21DF-277D-4F9E-A5CC-2703606F24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C36D0E-6A14-4E14-9FDA-CF390FC6394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E3D7D1-BBA4-42F1-98FF-8F24F23D9CD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458"/>
    <xdr:sp macro="" textlink="">
      <xdr:nvSpPr>
        <xdr:cNvPr id="28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3BB4F2-54DF-4EFB-979A-2336152543E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1"/>
    <xdr:sp macro="" textlink="">
      <xdr:nvSpPr>
        <xdr:cNvPr id="28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EFEE01-84D0-4EE3-94D2-18BDC16C5C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1"/>
    <xdr:sp macro="" textlink="">
      <xdr:nvSpPr>
        <xdr:cNvPr id="28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681FF75-06D3-44AC-BF29-7EFD918413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6872"/>
    <xdr:sp macro="" textlink="">
      <xdr:nvSpPr>
        <xdr:cNvPr id="28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0203A3-20E7-4C4D-9EFF-23B6D0630C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6872"/>
    <xdr:sp macro="" textlink="">
      <xdr:nvSpPr>
        <xdr:cNvPr id="28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04DB15-7F7D-4FDC-84BD-B37565368A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1271"/>
    <xdr:sp macro="" textlink="">
      <xdr:nvSpPr>
        <xdr:cNvPr id="28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1AF062-8BE8-4389-9FA1-30686D947F1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1271"/>
    <xdr:sp macro="" textlink="">
      <xdr:nvSpPr>
        <xdr:cNvPr id="28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69C1D9-2983-4EE9-BEC8-8FD786C280E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0B131D-176C-4701-80D5-018D4449A34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BD6FB8-0BD8-460F-8F8A-5EE20DCEF8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2FB7A3-189E-40F0-8D8E-263E723BD6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4138EC-DFD2-4404-8851-C478DAF8068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8EB27E-E019-40A3-9592-47B77FC2FC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190F4A-EAA4-46CF-8BDE-21114AC0E9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7C841A-7C10-4C8F-A917-24E6856ACA8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669837-5BFF-453D-BE0A-D9D28EE98C6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429C6C-D6F4-4F1B-B722-6C08B0E35B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6F5028-491B-4653-AFD8-84E78082FD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DD78E6-7FA8-457B-816D-B3E4F06523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E46C0F-5C20-4B9B-8E10-909F39B0FF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458"/>
    <xdr:sp macro="" textlink="">
      <xdr:nvSpPr>
        <xdr:cNvPr id="28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648F54-394A-4429-B639-24A62D1F8A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E96116-99CD-446A-BA11-D772AFDE74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75F507-0FB1-4B50-A0AF-8D42CF1E20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458"/>
    <xdr:sp macro="" textlink="">
      <xdr:nvSpPr>
        <xdr:cNvPr id="28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6B95F7-27CE-4E62-BB97-FA0C02F7683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88ADF1-6001-41BA-B8D3-FFF7186A42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9725"/>
    <xdr:sp macro="" textlink="">
      <xdr:nvSpPr>
        <xdr:cNvPr id="28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7DE9E1-FA1E-4FB9-8CD0-B5E42B21E2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1458"/>
    <xdr:sp macro="" textlink="">
      <xdr:nvSpPr>
        <xdr:cNvPr id="28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9322CC-E901-4319-B307-7F78B7D50D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1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1"/>
    <xdr:sp macro="" textlink="">
      <xdr:nvSpPr>
        <xdr:cNvPr id="28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15E8F-B16C-480E-A68D-02AD710C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4631"/>
    <xdr:sp macro="" textlink="">
      <xdr:nvSpPr>
        <xdr:cNvPr id="28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61F8F2-47C8-449F-A328-B18B99EA8E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6872"/>
    <xdr:sp macro="" textlink="">
      <xdr:nvSpPr>
        <xdr:cNvPr id="28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501C31-95EE-47D0-A2F1-9042B79EF4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6872"/>
    <xdr:sp macro="" textlink="">
      <xdr:nvSpPr>
        <xdr:cNvPr id="28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5B5AF8-BFD1-4A27-BF1B-FDD68F05A0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1271"/>
    <xdr:sp macro="" textlink="">
      <xdr:nvSpPr>
        <xdr:cNvPr id="28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F2F383-4500-4437-80EB-38C3F0FE8B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1271"/>
    <xdr:sp macro="" textlink="">
      <xdr:nvSpPr>
        <xdr:cNvPr id="28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E4607-2DE8-4D8C-A797-F997E0596C5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6ADE19-BEE2-4C03-A17F-14D92F108A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C5378B-D761-470F-92D2-1304044F24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D329D7-E5BE-424B-8365-7DFEC94715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B8B498-316A-4B2E-B08B-4F9B006BD93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2BDA04-1E25-41BA-B751-5D680E8C868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9AFABD-6F01-4693-8A62-D5902FB0A58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A3CEF8-BD98-4D06-AA90-B6520521BCD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182"/>
    <xdr:sp macro="" textlink="">
      <xdr:nvSpPr>
        <xdr:cNvPr id="28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FC04F0-DCA9-4B6C-9548-C8BB07405AE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275B54-52E5-4744-AFEB-F3B98459121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87995"/>
    <xdr:sp macro="" textlink="">
      <xdr:nvSpPr>
        <xdr:cNvPr id="28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EF7D2B-CDF9-49C9-9FEC-E3F388E4F78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87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C2C25E-F411-4A5D-BF7A-CC6BA607AA3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AD3629-1293-45DC-9464-3370B065EAA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28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37F667-7AED-4019-9C48-3FEDE702BDD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D49C85-DCD1-4B7B-B9D8-5407CED477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4DDBCF-1D81-4DBD-BF0E-1A219F01783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28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59D945-9C67-47E8-BE56-E29BF6E46A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761D73-8257-41A6-953A-76D555A6EBF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CE02E6-02CB-4A21-84F2-FC0369C38A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28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56850A-E991-4FD6-8E98-C17BCA7DD1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28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E14E49-8786-4739-A13F-39A8662B19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28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327AC8-C1B6-4D83-9185-ABEA82E718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28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E84637-94DC-4697-BA8A-50C905FA681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28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853CAF-2024-435A-938A-8889ABCBAF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28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155D6F-AB72-40FC-BC7B-8039D513C37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28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8ABCD9-6634-40C3-92F6-2BD32B5A796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CC57420-1920-4D8D-B74B-8AE8F2791CC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E5D453E-737D-4379-A9C2-35B27D9024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5D274-B312-43D5-9943-18D1620720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8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5DD5F9-D44A-4E47-8F29-05E8B1C9F3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8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D3CBB3-586B-466E-8EF1-EB3C2BDBBA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BB2A68-A4AB-47B3-801B-2F9F6AD064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F67D47-3F22-46B7-8D42-16B7831F44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9F536C-0D20-4E45-B697-63574E07CBD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8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3BAB41-6E01-4599-9E72-B8A4EABB7B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8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DFE26C-6C68-4494-84D4-B4D96CD7FF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5337E-D33C-4F2D-9450-E50E92311BB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20099A-10E8-4233-A060-B5E327E385A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28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F0523C-8394-4C78-AFAE-3C37C6130D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129D10-8401-4E49-8BBB-4769F6BC96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CBFB34-974C-4D71-9A79-3A9F6A286DD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28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FAD5DF-E0DD-47C5-B917-647824D70D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BF87D7-F3A5-4D45-A704-4D0A534A37D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8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693A52-F1CA-4240-8A44-0270548CA5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28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5A6046-EA0B-4E48-A4DF-C82BBC2CE4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28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83BEB2-3526-410F-9EA4-1EB59E5729D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28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06CE55-99DF-40DF-87C4-0AF6CA43948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28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6508CB-B1C7-4E51-BF01-B4CD35E7CCA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28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E5E7A-1F03-47BC-A281-6AF5F8625AC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28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3FA5B7-3EE7-42D0-AA8B-8BABB3F45F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28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D0FDCC-7A2E-455C-9C69-35DAD26CE6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19F233-9858-43FE-8809-697E523F9D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7120EA-CB54-4C8B-AD03-B0CAA446C9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D6A473-8773-4E61-BC2C-94E9CCD101A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8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2B2CA7-74FB-4F46-AEE8-A55BDE706BE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8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2750DF-E23D-4F13-83DD-A700F84CB3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4ED1C1-482B-4D4C-9BEF-14E68F1B505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04A509-8660-4B85-9673-1F17AD8B098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28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A721E9-CB90-4840-B5EF-07C8F7314DA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9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508CE6-F9FA-46F4-A085-E284ED730B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29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40DDB1-7FBE-4972-817A-CA01E8CDBB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5FACF5-03CE-4553-B6BE-8C2D9F18093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0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AC46F1-E73E-42E0-892C-7D5BA9334C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F1AA0A-BE9F-456B-8A67-E16DE1D5AD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0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86DD35-3A96-4A4C-9EFD-439DF765CE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414F38-FBA3-4D6A-964D-AB45069D36C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D1D29D-21E6-4CD3-B725-A0495B546B9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9C8367-5DD8-4101-B3AE-0D24D5FC81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2"/>
    <xdr:sp macro="" textlink="">
      <xdr:nvSpPr>
        <xdr:cNvPr id="29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4D0C8F-A1E2-443E-8364-24BC8D389C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0A7C29-2D1B-460A-8095-1A40FF9894E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928C7F-CD2F-45E6-8BB9-CD9CD10680A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42EB1C-7CC8-4B55-B7B0-078382C2D8E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12F492-89D1-4371-BB4D-5DD8A9417B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1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B99AA9-7DE2-4EBD-9491-FF816B48D6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197A-B552-43A2-B3CD-BDDFEA0A657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1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40F719-4C90-4EC2-8DAC-63469686BE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30B7F2-334B-4027-AC40-097D4F1C4A9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E6101C-028A-4876-9A8D-9CCF1C7315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01D580-D3E8-43AA-B1B7-6BB839ECA7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2"/>
    <xdr:sp macro="" textlink="">
      <xdr:nvSpPr>
        <xdr:cNvPr id="29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79EDD8-58CE-48B2-BFC6-DE23DA6963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8C89D-51F5-4EDF-B531-9710529BF04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97DA16-DB10-46BC-9B23-CFA608960CF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877FCE-1AB4-4CD0-847A-8B1B0A1083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6BB89-6E45-4CC9-A759-D75A9E75EA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2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9EC3E-2C97-483D-8FFE-2163905A95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11FDE-CFD9-4AE1-A576-42507ECB5A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A8F25D-2874-4F5F-95B5-0D11F8DECA0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F14BC5-F76B-4CA1-A528-1B3D94F1D34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5E1897-4B6B-4231-8CED-D335EF3A69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5C4B37-F106-4249-90BC-7FD5DC6CD4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2"/>
    <xdr:sp macro="" textlink="">
      <xdr:nvSpPr>
        <xdr:cNvPr id="29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84D103-5966-43A5-B0E2-64E83F490F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2B3FB4-9C02-4DD6-81B1-EEA4936740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E88B70-3E17-4482-91F3-2791063F87F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6C677D9-1E5B-4042-9F10-909E73E167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6"/>
    <xdr:sp macro="" textlink="">
      <xdr:nvSpPr>
        <xdr:cNvPr id="29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15A489-7EA3-435D-A9A3-8737670658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4"/>
    <xdr:sp macro="" textlink="">
      <xdr:nvSpPr>
        <xdr:cNvPr id="29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234D-5B7B-4AC4-838B-342BC38311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6"/>
    <xdr:sp macro="" textlink="">
      <xdr:nvSpPr>
        <xdr:cNvPr id="29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3E7785-A393-4AC0-ACB1-E1C53863D8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4"/>
    <xdr:sp macro="" textlink="">
      <xdr:nvSpPr>
        <xdr:cNvPr id="29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09D0E4-AE3C-442C-8692-02F83A3204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511F75-1CCF-4CF1-8210-242635825CA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29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30389F-1905-4436-952B-251B247EBE1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B24852-B946-429A-81A7-15FB23F2F4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8"/>
    <xdr:sp macro="" textlink="">
      <xdr:nvSpPr>
        <xdr:cNvPr id="29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DDA7DA-C1F3-4649-8556-04066D1045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E6B9895-8942-43D5-842E-62F52E0CB37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29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8A884D-BFDF-4F5D-949D-9F41ACA1573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B8C20D8-246A-4F8D-8ACB-3D4B34DF34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29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68044-1BCF-4BBE-88D2-8928D2633A4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29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399CC3-8EAF-4B34-8D95-75D450EB92F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29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2FC177-76A5-486E-9552-D11DE440281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29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83F31-5701-414C-9A69-3D8A40B3FF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81BA7B-159B-45EC-8F8B-4FEDD93FA1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29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379547-A80F-4750-A587-141B4E128E6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595005-2ADB-4C02-A252-FA7A1A3738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8"/>
    <xdr:sp macro="" textlink="">
      <xdr:nvSpPr>
        <xdr:cNvPr id="29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99A363-5A1B-47A5-8187-DBCE7EAB9E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763DE6-C847-4150-9EF8-9A3F16E5F4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295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84E7CF-046A-493F-961B-FC0108BBBF8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308A51-61F7-41EB-8F38-04354F347BF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94A876-F759-4A22-8CF9-AA30248E80E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73D1D3-0001-4E3B-A357-890075B1332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50F2C0-8218-4219-BBC2-5EC189581DB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A6E571-5015-428A-9EDA-24C52EB010A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3CA9C3-7713-4D61-9FEE-FF25EE4C1B1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18AC6-218C-4545-BB57-43A9C0A298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AE8742F-2749-4FA4-9B5C-2C68DCAD106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2"/>
    <xdr:sp macro="" textlink="">
      <xdr:nvSpPr>
        <xdr:cNvPr id="29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8EFB4A-495A-46E4-9A62-946BD958C88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806E93-EF2D-4B15-9A58-BCDC74889E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6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CB895F-3771-4BD6-B571-B9387BE954D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C2C3FC-C1F9-4AD4-9E3A-FFA28C8024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4F513A-6372-49FF-9DF4-1F750FCF6EC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CBE3D4-FD26-4B13-935F-4326CC545CF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DBF6205-913E-498C-9D55-FD8C904C67E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EFE7CB-21E5-4136-8495-42A987B49B9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69309D-2958-43BD-9A66-CB51DAF5FF7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AA0D0B-7D51-47D4-A640-F8E7521509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A8252B-831C-41DC-9431-FCF0B52C873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2"/>
    <xdr:sp macro="" textlink="">
      <xdr:nvSpPr>
        <xdr:cNvPr id="29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AABD25-708B-40B8-8C48-1A5602097E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DA2FE4-1E8A-4B3F-9A2D-B26FB72094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7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FF684-F8DE-44BB-9C2D-79ACF3ABAF9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CE8444-153D-4FA4-BD0A-B8DBBE881FF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6CD9524-210C-40EC-AE02-771F246497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4EC844-20A8-4026-95DF-67E1B86C7E5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30"/>
    <xdr:sp macro="" textlink="">
      <xdr:nvSpPr>
        <xdr:cNvPr id="29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65A0-B4BF-41C9-85AC-8F69960FE6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28"/>
    <xdr:sp macro="" textlink="">
      <xdr:nvSpPr>
        <xdr:cNvPr id="29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F6DFBE-73B9-410A-BFA3-FE883A65B97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02ECD8-57D0-48A7-A700-D293D1CD0D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75F9FA-5FF6-4332-9B40-80BF7E925E0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742D7C-8DE2-4B74-9F04-85DD784895E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2"/>
    <xdr:sp macro="" textlink="">
      <xdr:nvSpPr>
        <xdr:cNvPr id="29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F5DA43-DBDA-49CC-89B7-F075EF0E9C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4C51DA-D6CF-4C6C-A9E7-F69960055F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48"/>
    <xdr:sp macro="" textlink="">
      <xdr:nvSpPr>
        <xdr:cNvPr id="298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8CAEC0-ECCB-4560-BD98-B75BCD1B707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29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E901C5-6EFE-4ADE-87D7-8D9AE6C0C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6"/>
    <xdr:sp macro="" textlink="">
      <xdr:nvSpPr>
        <xdr:cNvPr id="29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AD89DF-8D12-40BF-B72D-B55B5B4C47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4"/>
    <xdr:sp macro="" textlink="">
      <xdr:nvSpPr>
        <xdr:cNvPr id="29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9DFF9F-8E48-417C-B141-3A0C11E944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6"/>
    <xdr:sp macro="" textlink="">
      <xdr:nvSpPr>
        <xdr:cNvPr id="29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81B010-9D65-430B-8A52-C049FAFE51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5834"/>
    <xdr:sp macro="" textlink="">
      <xdr:nvSpPr>
        <xdr:cNvPr id="29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D6B112-3487-4DD0-B2E3-6CC944306C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A12D99-2928-47A7-A101-F77EE932D3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29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4C7965-A331-4A4A-BB68-70B292C681B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118AF6-4AC7-4BD6-844B-8A4A85CF94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8"/>
    <xdr:sp macro="" textlink="">
      <xdr:nvSpPr>
        <xdr:cNvPr id="29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C5A558-D1BB-47E2-BC94-302ECD2810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29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2E3132B-C278-4E0C-90B7-2AF4EFB772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299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99A6FE-C440-4377-9970-1687F9D255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30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6A881C-B91C-4B81-83C6-F987B11D56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30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D3B691-E3E7-4099-9902-F4DF1B057D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30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4A79CD-F971-4042-B27B-D29B67FDAA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30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FD90111-8C02-4E9E-81D5-33B49B126D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8076"/>
    <xdr:sp macro="" textlink="">
      <xdr:nvSpPr>
        <xdr:cNvPr id="30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25DA2D-BF0D-41E7-AF01-B53DAFE1DE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30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57CD57-E987-435A-9074-B7786809BE0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30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8DE569-F93E-488B-A1EC-99A8A124B46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30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0701A7-6C46-47E8-AFA9-48D8C52E51A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8"/>
    <xdr:sp macro="" textlink="">
      <xdr:nvSpPr>
        <xdr:cNvPr id="30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85FE9C-F56D-456F-8302-AECE69A64DD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30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63231B-8E21-43A6-BF20-910D46D48D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4"/>
    <xdr:sp macro="" textlink="">
      <xdr:nvSpPr>
        <xdr:cNvPr id="301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8FBD2B-6621-4967-8F2B-08DDC778952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7"/>
    <xdr:sp macro="" textlink="">
      <xdr:nvSpPr>
        <xdr:cNvPr id="30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F925DE-6F3B-44CB-A268-FDDCFBF5CE7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76630B-5E86-4538-8DEB-99D8BED3B3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9A29C0-9080-451A-A8F9-2C79298C72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30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6EDBAF-23E7-4346-904A-909ABEAF1F8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592BED-A3D9-4D60-9DC2-815B5F2F26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71FE09-CAC6-445A-A39A-400581D1D1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30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E60534-B69C-475B-BBFD-74786DA6BB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8680E7-BB53-47B5-ABE1-8DF59CB9854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6515EE-4824-4536-8428-A18A70D651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30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E26E42-35E0-43B0-BCE3-D2421AD56C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30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7FF18E-CFB2-47DC-86BC-0AB475A238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30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551AF0-4F38-47D5-807F-F415F60A2B6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30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CF71DA-032D-45B9-8F1D-B74CCD53F6A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30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1201A3-A570-4A35-8A36-3C2044AC7C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30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6F278F8-7515-4133-B5A6-AB78CE10C0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30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FE11A2-BBF5-4024-8FD9-9185CCF8113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E57516-5C98-420B-A3B2-ACC7707F8CA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733E12-47A0-4E63-9953-1EB3159107C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E740C0-8529-493E-8B39-5E233C9AB4A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4E228C-C4A5-47B6-94F6-ED3BB6AC6B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D9012B-9C93-489B-A67A-BEA2E26C484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D596CE-0506-48FF-A714-DE56726688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A59870-6188-4343-8545-FD02CAB2278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73F1E9-D2D6-4041-A03A-87EF120392E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005451-B7F6-41B1-9D3F-4407F4459B9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49A52D-6779-496E-BE43-8E80A2DEA91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CD4C88-FA8A-4B05-8677-CA4FCC21DE8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B485D9-B72D-4B4A-8121-628E4234DB3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30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F36991-8282-43C3-82FE-4DB9590476B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D8762D-9BEC-438F-A73C-EDA2F4D1375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AF93A4-9099-4529-B63C-1252932145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30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B2AF4D-26AF-4DE3-A18F-E1415106161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0BFE4B-9540-4094-84F9-6D0E5DFC408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9250"/>
    <xdr:sp macro="" textlink="">
      <xdr:nvSpPr>
        <xdr:cNvPr id="30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A5805C-CBFF-48A7-9BAA-0862432235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0983"/>
    <xdr:sp macro="" textlink="">
      <xdr:nvSpPr>
        <xdr:cNvPr id="30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ACBCE68-4BC0-4641-BF42-CFCCCC1FD1B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30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69A977-E402-4D2B-A7F0-CAF7CE2289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4156"/>
    <xdr:sp macro="" textlink="">
      <xdr:nvSpPr>
        <xdr:cNvPr id="30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0E7140-0458-446F-BE7D-E81F06438C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30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391089-4A83-4CDC-A9B7-6D889DE4104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6397"/>
    <xdr:sp macro="" textlink="">
      <xdr:nvSpPr>
        <xdr:cNvPr id="30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9FFE6C-0011-42FE-B8CA-E50CA0BFE88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30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97DC8F-EAB0-4C1F-A318-E64FF15CB2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0796"/>
    <xdr:sp macro="" textlink="">
      <xdr:nvSpPr>
        <xdr:cNvPr id="30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C9BE5E-4AD6-430E-AEEA-875B6BC6E1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49EBD1-CEC9-46AD-8D8E-FE93FD95F5C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CB1EF8-5952-4BF4-83BE-BEB7A1292AC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84CBD3-BF8B-4A77-93A8-F040D17390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01E0D4-B8A9-41BC-B888-957EAAE406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842771-5C67-49C3-A9C6-FB5841C1C27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418E1B-29B1-4823-A726-F300E653F26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90E5D3-A387-4F55-AB5D-AFE9C7E4AA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307707"/>
    <xdr:sp macro="" textlink="">
      <xdr:nvSpPr>
        <xdr:cNvPr id="30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48EB4D-BA12-4964-991D-C8D75738A2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307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7AD789-7B92-4621-8C02-85CB25CC18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1072</xdr:row>
      <xdr:rowOff>0</xdr:rowOff>
    </xdr:from>
    <xdr:ext cx="304800" cy="297520"/>
    <xdr:sp macro="" textlink="">
      <xdr:nvSpPr>
        <xdr:cNvPr id="30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4AB0B9-E20D-4CDE-8C12-488104E6543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90268425"/>
          <a:ext cx="304800" cy="297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4819"/>
    <xdr:sp macro="" textlink="">
      <xdr:nvSpPr>
        <xdr:cNvPr id="30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4819"/>
    <xdr:sp macro="" textlink="">
      <xdr:nvSpPr>
        <xdr:cNvPr id="30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4819"/>
    <xdr:sp macro="" textlink="">
      <xdr:nvSpPr>
        <xdr:cNvPr id="30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2"/>
    <xdr:sp macro="" textlink="">
      <xdr:nvSpPr>
        <xdr:cNvPr id="30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2"/>
    <xdr:sp macro="" textlink="">
      <xdr:nvSpPr>
        <xdr:cNvPr id="30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0233"/>
    <xdr:sp macro="" textlink="">
      <xdr:nvSpPr>
        <xdr:cNvPr id="30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0233"/>
    <xdr:sp macro="" textlink="">
      <xdr:nvSpPr>
        <xdr:cNvPr id="30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2"/>
    <xdr:sp macro="" textlink="">
      <xdr:nvSpPr>
        <xdr:cNvPr id="30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2"/>
    <xdr:sp macro="" textlink="">
      <xdr:nvSpPr>
        <xdr:cNvPr id="30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0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0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0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0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0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0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0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0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0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0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4819"/>
    <xdr:sp macro="" textlink="">
      <xdr:nvSpPr>
        <xdr:cNvPr id="30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4819"/>
    <xdr:sp macro="" textlink="">
      <xdr:nvSpPr>
        <xdr:cNvPr id="30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3086"/>
    <xdr:sp macro="" textlink="">
      <xdr:nvSpPr>
        <xdr:cNvPr id="30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4819"/>
    <xdr:sp macro="" textlink="">
      <xdr:nvSpPr>
        <xdr:cNvPr id="30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2"/>
    <xdr:sp macro="" textlink="">
      <xdr:nvSpPr>
        <xdr:cNvPr id="30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2"/>
    <xdr:sp macro="" textlink="">
      <xdr:nvSpPr>
        <xdr:cNvPr id="30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0233"/>
    <xdr:sp macro="" textlink="">
      <xdr:nvSpPr>
        <xdr:cNvPr id="30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0233"/>
    <xdr:sp macro="" textlink="">
      <xdr:nvSpPr>
        <xdr:cNvPr id="30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2"/>
    <xdr:sp macro="" textlink="">
      <xdr:nvSpPr>
        <xdr:cNvPr id="31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2"/>
    <xdr:sp macro="" textlink="">
      <xdr:nvSpPr>
        <xdr:cNvPr id="31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8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1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1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1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1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1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1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1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301543"/>
    <xdr:sp macro="" textlink="">
      <xdr:nvSpPr>
        <xdr:cNvPr id="31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30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1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356"/>
    <xdr:sp macro="" textlink="">
      <xdr:nvSpPr>
        <xdr:cNvPr id="31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24005975"/>
          <a:ext cx="304800" cy="29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1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1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1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1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1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1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1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1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1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1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1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1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2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2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2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2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2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2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2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3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3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3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3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3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3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3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4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4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4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4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4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4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4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5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5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5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9724"/>
    <xdr:sp macro="" textlink="">
      <xdr:nvSpPr>
        <xdr:cNvPr id="35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1457"/>
    <xdr:sp macro="" textlink="">
      <xdr:nvSpPr>
        <xdr:cNvPr id="35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4630"/>
    <xdr:sp macro="" textlink="">
      <xdr:nvSpPr>
        <xdr:cNvPr id="35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6871"/>
    <xdr:sp macro="" textlink="">
      <xdr:nvSpPr>
        <xdr:cNvPr id="35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6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1270"/>
    <xdr:sp macro="" textlink="">
      <xdr:nvSpPr>
        <xdr:cNvPr id="36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6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6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6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6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6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6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6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98181"/>
    <xdr:sp macro="" textlink="">
      <xdr:nvSpPr>
        <xdr:cNvPr id="36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6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418</xdr:row>
      <xdr:rowOff>0</xdr:rowOff>
    </xdr:from>
    <xdr:ext cx="304800" cy="287994"/>
    <xdr:sp macro="" textlink="">
      <xdr:nvSpPr>
        <xdr:cNvPr id="36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0059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6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6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6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6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6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6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6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6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6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6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6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6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7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7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7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7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7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7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7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42E174-D9A6-4E10-9430-3B2802F0B1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C55AD-97BA-4CD9-B02A-9EE8E797F3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92B78-0246-4981-AA8F-8B99C8B300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0D2957-2EDE-419E-8170-B8E1A97E77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35261-99CE-4518-B6AB-506E80647E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C049-C149-42D8-9763-61771D4752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751C9E-F516-428A-BAAD-92C01CFBCA1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DA10A85-FD1B-49BC-A29D-13CF8760C0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1A3809-F625-416B-8C90-AD8EAF8D0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B8D923-7365-4204-B91D-4F79EE9EB0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679B63-02DF-4F92-9003-444A1B0FA2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64BD21-9915-47BE-86B2-68075C8445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284A45-310C-4A67-9F4F-4E37F0BD6E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C7223C-35A9-4569-A520-41F6D857B4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8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06C1EC-9B20-47C1-BA07-E7F0E8EAC6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8A27E2-8861-4ADF-9335-EDFEC04E12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7C3EB3-FBAD-4810-A262-604401EF0C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307EB3C-B384-4F21-9065-26B0157E5F9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FC77DE-FD45-487B-B3C8-3196EFBF3D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10F33D-CB57-438C-B250-B5AE121E12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8E696-3300-48BC-B303-EF7341AB6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0E172C-CF4A-42DF-AD4E-F594DBAA83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8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7C6C6-5ADB-4721-92AD-62CE4C01A3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24534-1F22-4DF0-B0A9-4622462AA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8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673FD5-0897-4EA3-A291-A4002053DC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48F07A-0B41-4639-855B-341021FF6A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15DBF4-D446-4BC3-98AD-80BCFEF54D9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8B2FB9-AA2C-4359-93E8-54AD3F7078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511109-CEAE-4B80-8036-E45C867207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DAE24C-E222-49FA-8FE0-1FE4985B629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7C6FFE-D6D0-4011-8E52-8D091ACBBC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633746-11FD-4BFA-B5C6-00100424ABE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9724"/>
    <xdr:sp macro="" textlink="">
      <xdr:nvSpPr>
        <xdr:cNvPr id="38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AF38E-5EFB-4E94-970B-78D7B02AAC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1457"/>
    <xdr:sp macro="" textlink="">
      <xdr:nvSpPr>
        <xdr:cNvPr id="38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B08AC-B442-4C75-8189-A00916B237B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09A268-CB65-4892-AB05-F23263FDDE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4630"/>
    <xdr:sp macro="" textlink="">
      <xdr:nvSpPr>
        <xdr:cNvPr id="38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36804E6-FFE6-41FC-BEC1-C17A6A141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E4F9F3D-277C-432E-9D9F-9CCBFFF16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6871"/>
    <xdr:sp macro="" textlink="">
      <xdr:nvSpPr>
        <xdr:cNvPr id="38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A7DDF5-504B-47B1-B188-56A58E5D10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9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927C31-F46E-4FFC-B874-C2D4458B0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1270"/>
    <xdr:sp macro="" textlink="">
      <xdr:nvSpPr>
        <xdr:cNvPr id="39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0EDAF5E-3A5F-4A40-B2D9-318977312B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9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EF0E8-DF42-4E94-A769-ABE0F8B0E9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9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82CCD-4B88-45C0-86C3-92F3D37ECE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9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A93334-B5DC-4CA6-8DB9-4D7AF87711C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9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277F64-F374-48B4-B531-C083CE3B20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9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5435E8-2FE7-4B8D-97E4-33A4F038709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9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C7D918-3E96-49C1-AB4A-A691B1CCD3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9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8ECB89-6DF7-4F27-AA32-344C481F32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98181"/>
    <xdr:sp macro="" textlink="">
      <xdr:nvSpPr>
        <xdr:cNvPr id="39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1C5C0FC-1795-45F6-97F7-3804EAB089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9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0605AC-2AE8-4BF7-B9A4-5B793940B80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419</xdr:row>
      <xdr:rowOff>0</xdr:rowOff>
    </xdr:from>
    <xdr:ext cx="304800" cy="287994"/>
    <xdr:sp macro="" textlink="">
      <xdr:nvSpPr>
        <xdr:cNvPr id="39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46D5C5-A19F-4481-A911-77F30E1E18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2421552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C3B18F-64B2-48C9-92AD-ACE3EF22F7F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53AD78-4BD6-41BB-8783-C20B1E39C5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39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723059-05C2-42F5-B06F-9917A20B14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E578A4-0FAF-47A3-B8F7-4DAA3459B5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E3EA4D-1178-45D8-A0BC-E7077A430F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39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214F3-8A61-4599-B5B9-BFF8ED6755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6B5E34-06BF-4BD3-B654-BBBC196C96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B7CD71-703D-4D81-81E1-600373B2C6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39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8DE52-84A3-4E3E-BC6D-638D5CD24BD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39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882AEB-0888-445D-BE06-18E70909A91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39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A62FE1-C006-45F7-83BD-925CFDF907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39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11974D-41AF-4F85-A36A-F55F2F7B5EC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39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506016-B6EB-479D-AF6C-E498AECA14E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39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342254-007D-464C-AD54-B513401FD4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39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E6C498-A5B6-4FF8-B2F4-9E1341DA9C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033A1A-A6C5-4937-8FB3-A8E09450DCF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0DD2CF-1DFB-4900-90E4-83D439FFA4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250ABA-FAB7-4A5B-B32F-CFD4BBE035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77B121-4338-4305-83B5-7A36D38CEB5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18AF6-BBA8-44EA-BE54-F87887649CE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9362F4-C115-419D-B07C-CC618908F2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1002F0-5689-40FD-A9EF-E6A844C683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11767D-7F9C-4EE3-B848-2FD8939A5F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BDF21B-FFE6-43EC-8D93-E2839C24910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984E38-18E5-4ECB-AEAB-66CDAED95BF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6BAFD6-A7ED-4B92-8E84-4FC9B5283A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F9CA7D-6C11-41F0-AC2D-9BFCA5E8DB4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39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8C748D-5593-464B-925B-54E68CF29D7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C6DED0-45EF-490B-BFC7-FC2583BDCF7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DEDF0C-D20F-4F7F-AA6A-ACF19F204FD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39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A3278F-47D7-4780-AF3A-193F0C497E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52D7E0-B54D-4DC6-859D-219CBA05F8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39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26A91D-F546-4A15-8D1E-4803F98FC5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39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C0049E-CF82-4BA8-9EE3-EA580A74500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39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264BE0-7992-4F34-8E60-0E7D79BBD0F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39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EF5B8-542C-48BC-9EDA-D5CA0C4F07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39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15B852-C56A-42CD-AB1D-07499386246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39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B22B4B-25AF-4D5A-AE9C-B0A5A1AE9FD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39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4E3DAB-D529-4DDF-A326-0618A3FBBD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39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3F43-C8CF-4174-9E8F-5B75277BA1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903AFF-5848-4F5D-A184-DD2A9884B7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7F9D6-CBB5-4FE2-A877-9BB2D98843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BFD7C-F64D-43F8-80B0-94ED7930528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230574-A819-4AE8-A35D-52437C33EC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DE6541-18F9-4B3D-AAF3-699161603CA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67AFBA-2053-4011-A41D-C8117412436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D8A430-C99B-43A5-BA45-44FC3743BD6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39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4C4DE3-E1FE-49F6-AD8B-96A4F5C79AB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B6C5F3-A0FA-449C-8281-28F08118835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39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19A31A-2A56-4F68-9A45-0041B4DA6B6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2C9966-8509-4462-AFAE-B5D9B7A7665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DB8C94-5B2E-4654-B0B3-C45DAA807E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39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9AF97-BE0C-4512-A56E-974B06E571A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55AB35-D14E-4BD1-91EC-DABC460828B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C60430-E868-4490-BFFB-C643384F05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39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B85116-733E-41E9-B241-A172569150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9CA70D-2917-495F-99D2-1223CB3708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68AF15-5969-4B91-B86F-1F18842D8A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39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66415E-8732-423B-A8E9-191B73365D7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39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C10301-2BC9-4B49-A3FE-C7E234AB05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39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4526F4-A631-4CAC-B2FE-1F3A84CFA47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39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61B979-47FE-4BFA-B670-9A2A9776D7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39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44D383-384C-4A17-8706-765526C55F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39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FE9ED-DAE3-47A2-8B2C-51C0ECBDEA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39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F35838-287D-45A3-AADB-CAC5223EE7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39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E127B1-0D18-4C5C-8615-7E97FD25D7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39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BDA49C-A4AF-4065-A4B5-664CD804E4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39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704EB1-910F-4210-8442-D7D660DC33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39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AF1EFF-BE21-425F-BA21-5F638E7E50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39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3EF2CE-5F76-4FF6-9BDD-B53E4AFD8D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39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41DF4C-0ACF-4028-AE8D-83304B6BD1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39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F38467-E07E-43FE-B6F7-3AF8F7123A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39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859758-BBEC-414A-B7F1-97290D1FB2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39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102B14-3CCE-4878-B2F0-ED947A6459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39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534A7-A1D2-4A5E-AF95-401BC3F447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D33FF-C914-4A35-B510-9DBB80AF651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5917BE-928D-49B3-92BC-241710C911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39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B6FEC4-1FCB-4923-B706-D482C0EE251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2BF0F9-18FF-4F23-AAD1-B3318DD9005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BE939-62C9-40D1-B151-ABB9FF1CD6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39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957AFD-34A6-4ABC-A7BF-E46B00CCE2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0C746B-FEA9-458A-8BE0-042D9F5EED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39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77DBB3-C852-4277-A072-581FE433B00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39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34A9CB-85CF-4161-A823-78516A6B04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39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1194A9-05EC-4373-BDBC-415052731A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39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78378E-14FA-4F7C-91DC-B9E92C179AB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39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5F813D-AE7D-4439-9BD2-E1E92E43E0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39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60CD5E-C531-45BE-BD66-4CD3534A83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0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D800F9-DC74-4F9B-AEE2-E1C86E8E8F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0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31E2C-0DF3-46D2-A5E1-8F58590A58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0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A31202-9EE3-4CDC-AC27-E150AC9C62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0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104F0D-7077-4245-AF1D-FD85BC36847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0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168DA-1732-4F9D-AB59-094BFF36596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0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8565-6369-4DD4-86FA-E4789D8072F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0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3358E1-5CA6-4054-9ACD-86DF4297A5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0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DB1323-5E03-44E8-9644-FEBD34CED41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0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6FC340-D632-40F4-B045-0A89B584C5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0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772F43-F98F-4A7A-8530-46B6D87952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0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DD268B-3B0B-4B39-A7D6-5BCA8ABC73F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0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DFA18F-FEB7-48D6-9F73-52F0775F69B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497F58-8FFF-4B60-AB72-3E4D5DC2388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5C8A1F-EF5A-4AF7-B0B2-3496666ED4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FFBAF6-C9BF-458B-94B9-A9DE8AD2BF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1D4AFE-3F6A-4208-BDA0-A5C8C9D894D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837036-3C18-4B3A-8020-95A5CC6842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4B01E-1933-4494-82D7-085E27586D6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DB084B-DA2B-49A9-8DE6-964BA50120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E8959C-A079-4B18-A90A-C80C5ABC0F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E918A9-42DB-48C4-870F-C9E4099646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F2312-359A-4049-AE5F-D3087356B7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F21804-20F4-475A-AE7D-9CCC33E097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8EB0B9-697D-4958-9CC3-E514485FC9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C3929B-3181-4599-8D03-9D0E7670B89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0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F9E379-45FD-4C66-B7C6-1241E395A9A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0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41287B-149F-4428-92D1-EDA4258C98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1233C-062F-4A75-8C96-002320CA4C4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5F8E99-56A5-42DE-A98E-F8A506A117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1C9B2B-E0CF-44C6-B6AF-5A226BFF14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5CBAEB-6AB3-40E3-9796-BE1C60BFE9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7A7D30-6715-4DED-AC01-B385F853A3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B23A78-A1D6-44D1-826A-B9518F31AD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A6DD4C-2273-43C7-8FBA-35EE6F9D3F6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96598D-EDBD-4229-8C4A-703CBBD09A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72B0E5-4025-4977-9508-6E3F0C5338A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7243FB-192F-478C-8B21-AA1CF913C0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FD8AFE-001A-4731-B558-5944413715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DFDEF6-9128-4123-9BA8-67D04459A0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95042D-1DE3-4C6A-B570-2BDBB8DC76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B21012-483A-41E6-A27F-9743F6DA26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8A9BE0-C5AF-4FA5-816F-B6416DB091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0384A6-275C-41B5-A3EB-77071DB5568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0F4DF3-6303-4E1F-81E2-F5A46A6D5DC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A8A241-093C-42F6-8C74-B88E876776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F5AF58-FB22-44C1-8CAA-D6C33EA267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E5CBE8-C9A7-4D44-BCDB-2C8BD71E69D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8F4C24-0767-46E4-8032-A3A3B59DC78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56B8CB-8A7A-47C2-96C5-7FECAF7381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E52457-CC0F-4454-AD2A-ECBA03F4863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0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0BC590-E3CD-4E5F-BAE6-A0BC27DFFE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0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60D072-AB66-4EA4-A4C6-35C9F3509D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86AB90-228B-47FE-A0A7-FD582127E2F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AE1FF8-9B0A-40AB-8096-1FC1F2D813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99358B-D6B0-4DBD-964A-3491980F355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A17A35-30AB-4B72-AEF4-E65FDB20BA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62B409-49B3-4D32-8A4F-156140118F5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E32CF-AC25-4466-A316-62A70619DB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0548AE-31D1-49C8-8F9A-AD767221AE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A1F33C-1726-43CE-90DB-677F8FC324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C70F1B-A37F-44A3-BAE9-143D8818FF6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F4DCFE-D599-4042-8F60-769BBCEE3E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D7FE96-2A42-4C34-A57D-C84CBE7860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77BAC4-4019-448A-8152-06E507DE1B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610E4E-7D99-44A7-994D-E43860AF04B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1C0D3A-77BA-45C8-A01B-333B9FD2797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3E707A-AC30-44F5-89E5-D09775F1FA8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4A614B-A7BE-4DD6-8D10-62CCA00A413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0E4AB8-FBC9-4BD7-8BEC-590E0C08F45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D88BD1-CD62-486D-9B46-CCAABF7741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1DBAE5-D350-4082-984C-51BB1EED26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6A12D2-BE70-4D6A-A40E-9D53F4A77D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CB7B04-426E-467C-AA4F-7E1FFC6EC3A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892FC7-F3C0-4EF7-AAC0-33CF64E074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DC95C8-F93C-441F-9E43-16C0A0E8FE0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0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453F53-456A-4B86-80C0-69C3ED5BCD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0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3587F3-94EE-49CB-8C82-BB763ED2386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88CC13-3C17-4D9B-A0C7-CEF9175937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FC56A5-4082-4DFE-B977-120C5FDA34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F5BCA0-072C-4CBD-9B3B-BA49AE880E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BAED5D-E526-430B-A5B4-0204D74895D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A7D19E-6D32-43EA-B7DA-9A1FE78694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32F7FF-61D9-4377-8A2A-E2FB916BE8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1AAC23-1E00-4EDC-B7F4-1020C77130F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0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8906C3-0852-4330-8C09-217BF5CE53E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06CB2-F13C-4E27-9CC5-3B1375CC05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0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875715-B71A-4ACD-9CA1-2A71837BC81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D9D240-4DB8-4E69-B601-933EED9C5B9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272DDC-1338-4993-B437-38641F0B9C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B02FF-6F80-4D56-AA15-32A45098CA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860414-8BF2-46A7-820E-16E98E6826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7AD5F3-C021-428B-8968-28169C0471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278F60-CFC1-48EE-9C7D-497D222999A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969CE-A431-4CE4-B123-DABD5D1DB3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0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810CA-84E0-4D11-B6B2-96810BF40CB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0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D765FD-2D92-486A-A842-54ECD48F99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B520CB-4751-490B-98FA-6BFBD81D58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0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7431E-F2E6-4935-830D-C8C7EEBC38C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7B7428-2E9D-4B48-A6EC-8DCC1E62EE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0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9A59B8-803B-4FEE-B455-11A894E968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1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E2C0E4-B4CB-4109-9254-8D806013082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1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2AFA71-999D-40FB-BF30-5780521AF00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C865F6-41EE-465F-A229-C90B46A8F5F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ED975-E98A-4104-8DB2-08E8968530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203F3-D2D0-4DF2-8A49-3CFEACA4F5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CC70D5-57BD-487F-8EC1-815F3D99329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A6BBFF-7283-46AC-B0DD-A3D4BF7600D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BCC190-E876-4A89-8753-A7F3EA7A95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AEAAB6-92C5-45D8-BA76-A3A4DAC660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292474-C5B6-425F-8BFC-CE79D8407D4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1E7EEB-EFC8-4945-8A9B-F6DDC1C509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65623-A191-446F-8267-5942442942A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8273-F777-4DD3-A78F-75083514DB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315991-C77D-4C5D-A8DF-A5A340203AB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1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E3501E-73CA-405F-A90A-ECA05D3154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F0D1BA-D2C3-4F42-8355-180E49D1C7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CB1AB0-591B-4D49-8DC2-69F06B65512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1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5F74E8-42B9-4615-8A64-4F3AE8081C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C5BF6F-0E1B-44C4-81AC-BDB46122093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3380A0-CA27-4ED0-81B6-A392BBE170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1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348D81-9889-4DC6-B1A6-6F68C8B8ED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1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6E582F-B4C5-4380-891F-1C171E4CF7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1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6EE590-A58A-4D6C-949F-7A2E69DE68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1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3FA4F0-5728-4B38-9E9B-59570B45CF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1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E37AAB-0895-4D03-BBAB-53E45BD1B0B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1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A1E523-C1E7-4C59-9DB8-C55478F4A9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1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33A59D-2FFC-43F8-B47D-AE5BCA27F0A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36CFB4-1D10-4FA0-8348-F34846BF02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2A0A50-AB1E-420B-A6AA-727CF4E6D59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F77A98-B2C6-42EC-8A0B-D7E06A7FC2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5434E1-FE28-422B-A6BA-B3247431B8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952989-62D1-4C4B-B710-4B72A814D4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FFDCA1-6CDE-419A-ACC4-372F9BE23A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12A2C3-ADC3-45FE-AC52-D655CFEBF7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BB780F-5A2C-4C61-BAF8-A0C7F25D7CD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8F78D3-8E3F-42A8-91C1-A0EBC67BB6E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F449AA-4C38-4303-B587-9D6D5D7D7A4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2AEDC7-DE64-4A38-8FB0-EBD9ECF7FFC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184ED4-9300-407F-B556-AB9D71AF2A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1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15B1C3-354C-46B8-B5C4-80E040F3E41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7C2818-5222-4F85-9E8F-A7C60B17363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B17073-E9E7-4862-8583-AA1F34029B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1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3B50D5-4DF8-4F98-A280-86DF46278F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F1955-1379-4369-B0AF-A0F580027F0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1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25E0EA-69AE-4D6F-837D-599DC00D2A3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1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3CFE94-FC62-4BE5-AB40-B799214FB6B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1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BB0B0-33F8-4D2A-BF5E-9A7264F87F2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1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FE476A-47DD-4EF8-9469-4BF37F4F4AE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1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7F93AC-D993-4E41-BE23-7683A695CA4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1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CA323A-89F5-4821-8081-986128259DE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1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AA8505-5FF2-4E95-8931-E03BB74A791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1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3D86EB-A2BC-4902-A700-34C565CB56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DD1AC-697E-4BB2-B2CC-4090A31FD6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2731B6-9B0B-41D7-B8A7-5BAD98EA912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A17AD6-E182-409D-B7C5-1212E0E019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D67CC-65F1-4823-8FFE-DCCCEDC798A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08316D-A884-46F9-A7E7-F734013A9F8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B8BB4D-8E25-4496-88A8-B373DFB981F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A74F5A-610A-4F28-B40B-116AADC9276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1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AC2BC9-E433-49B6-89D1-128F4AD114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62713-01D9-487D-A337-24C325A2AA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1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550C2D-2A02-4F3D-8590-6CA99F1E524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C5185A-16DF-46AB-B333-8F0EC65494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DBBD06-D1C6-461F-A9AE-CB0021815C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1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7AAE6-EC2B-4525-83C3-BEEADFC895D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4D4AB0-333A-4718-A2E4-C32754DF5E6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93F277-CDCD-4078-8DB1-B8F57373229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1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0BAB3-82EC-458A-9664-5498367120E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7691A8-01DE-48B3-8D31-610462B0CC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E2F088-127F-4C0F-A8BA-69FCC2E9B4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1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605DD0-A3FF-4054-9E6B-DE356EC506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1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5C20-FE85-46EE-8E26-95A48E4664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1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1C6B81-B565-401B-AA3B-3651769461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1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B93D49-9B75-4111-9140-06DBBB08A7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1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E63D5-2532-4AEC-B7ED-F802033D793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1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13DD32-0664-486D-A70F-139E9B34B6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1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BEE27C-5E89-45C1-9240-2C74A2C2AD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C705D-221D-4DCB-A35F-2745BD620DC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546E1-40B0-4566-BA4A-2B3A26F690E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EF3678-59B0-44ED-BC04-5D8DD99AE6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1DA00A-DA55-4BB7-9798-18D81D7E5E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A7B3EA-E2E9-4E3A-A27C-EFF7DBE78B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8E8E87-AA58-4A3A-957D-986192E39D1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8A2F8F-B23C-4E2B-8F33-E574F38CCD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1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96D7FE-B229-4928-9658-E93D9AEE1C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2A2070-BCAC-427C-B50E-DD91D80A01A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1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CB4959-C379-43A0-9343-BB3B7C7984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BD0FE3-F2DF-4567-A265-2C2FF39C5C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43436B-6462-489D-AA61-9F846E126B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1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3CB663-138D-4E6C-96BE-B5B6CDEE51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370D80-141A-44C0-AC3F-1AB00674EC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483B68-14EF-46C3-8F22-0EAE9BA443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1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0443CF-C0E9-4E8E-8329-2BC4641C12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644183-B5A2-4233-B352-0734B2B4240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80173</xdr:rowOff>
    </xdr:to>
    <xdr:sp macro="" textlink="">
      <xdr:nvSpPr>
        <xdr:cNvPr id="41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387F29-0A20-40E5-B946-33999D4BF4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81906</xdr:rowOff>
    </xdr:to>
    <xdr:sp macro="" textlink="">
      <xdr:nvSpPr>
        <xdr:cNvPr id="41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D25D2-AD79-4293-A4A9-7D846852366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1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C72294-7A8C-4944-B799-487AA282613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75079</xdr:rowOff>
    </xdr:to>
    <xdr:sp macro="" textlink="">
      <xdr:nvSpPr>
        <xdr:cNvPr id="41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D653FC-D681-4068-9AF8-9A6CBE094E2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1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36D1F4-DCD1-4691-8287-57101EDE1E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77320</xdr:rowOff>
    </xdr:to>
    <xdr:sp macro="" textlink="">
      <xdr:nvSpPr>
        <xdr:cNvPr id="41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30865C-A96B-4737-B599-F3AAC02EB6C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6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2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EF21FE-7B33-4DDC-8043-0834513C0C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71719</xdr:rowOff>
    </xdr:to>
    <xdr:sp macro="" textlink="">
      <xdr:nvSpPr>
        <xdr:cNvPr id="42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767764-9D88-41AE-87D7-286CDE5AB54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2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5723F7-93B3-4A69-88EE-E4265E678D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2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EB24EB-4314-4E3C-8563-1F2F70E7A2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2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B6BC04-8604-4D3C-8554-AEFFDC4D5D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2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4F91CE-0451-4780-B87B-8A4EE7ABEDC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2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5160DD-3EFF-43FF-B5C8-A549137B34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2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D21B34-A863-4D81-8D5F-7846585F0B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2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A869E1-0D7B-4C45-801E-0FE8261554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88630</xdr:rowOff>
    </xdr:to>
    <xdr:sp macro="" textlink="">
      <xdr:nvSpPr>
        <xdr:cNvPr id="42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95225-8066-466D-B966-9DE1F5A71A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2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14F61B-AB75-4113-AEB9-7999B293198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78443</xdr:rowOff>
    </xdr:to>
    <xdr:sp macro="" textlink="">
      <xdr:nvSpPr>
        <xdr:cNvPr id="42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D3FA14-E3F7-4881-9063-FD678068F8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87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B56557-0988-49AF-9C32-C4BBDEB5D9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F52715-13DF-468A-ACAC-9F8E13A615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2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9E547-F88E-49BA-A3FB-98B4ACD3E3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BC82C0-A07E-4CEE-80F6-45D05929523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851263-2100-4651-9A5D-25F6023CAD2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2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0A5313-3F11-4A5E-BC6C-C53B1A32A7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0296C8-2770-4AD4-8E62-CF6EC0E452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1D09E2-7C13-428D-A87A-878516A58D6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2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597432-CFB2-411D-A242-0226BBA4AB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2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F548B-C5AB-4CAA-91EB-1AF868A1B03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2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997695-924C-4B0A-B020-CC6A627A90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2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BC004-6031-4CC7-AE73-E8FBD439C0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2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8327B2-0EA2-43C3-A1DF-ECF94F9EF1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2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0AE7C7-A8C1-4D54-AAA0-A6B25A4DCC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2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1AFCB2-78E1-4186-9958-1660CB08D7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0DFC97-ABED-4E18-A41A-09556A7BE0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040645-1D8B-4A5C-900C-7996EDDC7F3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9836AF-1B33-453C-B3C9-69BC0060074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D370C9-8552-4281-B9C7-7BFF303692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390B21-C227-4FE6-A10E-6612EA6DE7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24FC90-807D-4F1B-9281-E03A951645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ECA980-669A-45C0-9637-B17A7FAC68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B33938-BD94-4812-9610-479FA3626E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ADBC54-F70D-421E-9576-5BDCD0A2E62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68F580-0F0F-4992-B1A9-67F48B5254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524584-1B93-465B-BF9F-1602935822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A80A74-FBF3-4CA2-AB09-3F106F0486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2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B2609C-004D-4B53-8A56-BD10B8DA85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36F824-0FC4-4B0D-B291-4AA53F0B816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AC5928-D5A7-4CDC-8480-E3AC776DD0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2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7AA9D-0656-441D-B317-FF35705E425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B520BC-4821-40DA-B8AB-85CB001784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33F48A-C7BF-4CEB-8A44-0384ED8E65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2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B848A-2F1D-4F2F-AC1A-EE3C3CCEED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2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50292F-E385-4E55-8F15-33BB3810AD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2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D76B-F6BA-4223-BCDB-CC5C2861998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2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157058-A725-45B1-A814-8253B86556B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2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53C6C2-554A-40D2-8D43-F43EDE9CEA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2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D1ED14-F15E-4D8C-ABD5-EE26607B83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2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517794-17D1-4B50-A6CE-A2BAB384C6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D8C711-825C-489F-A466-F9D9760F22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7D19D-2E62-457D-A920-C5EB0963C2C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111307-5FF6-4821-BADD-33E2ECEE2A4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449AFE-FB21-4127-9384-9E3751FF3F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27FF34-398D-4942-88D2-FE4C4CCB90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DBA5FB-8D66-4038-B6C5-59E01372E1A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CE5ED1-51F3-40E6-AA11-88EB345B2C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2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5C7F10-904F-496E-A3A2-6F5C86F659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EC1412-C590-4F78-AFED-A34EBBDEEFB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2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D28ECE-D3A6-4365-A649-4C4C561B2F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2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1E36CE-50B0-405C-B5AC-B0737ADE48A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26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462B43-373E-4A8C-B3D3-8080BC6CDFB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2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E54B2-2966-487B-8E5E-6A7B511E51B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26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DD47AE-E152-4278-8944-D864CA8A4C8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14D86C-ACC9-4080-B294-A0F2D2B89A8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2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D6DE5-EC49-4DBA-87A9-1BEB239FAFE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102421-3C5C-4DE3-899F-184678F9716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89700</xdr:rowOff>
    </xdr:to>
    <xdr:sp macro="" textlink="">
      <xdr:nvSpPr>
        <xdr:cNvPr id="42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5AF5B2-A057-4FEE-90F0-50D8652DC2A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B0D6C2-2D69-440E-BF61-F0B60A338D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2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534350-4C8F-423C-9B2C-D13D406CAB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BA77A-60A0-4B01-8429-878A845132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2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E04D16-0D96-4A3C-93D2-88032D8661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27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BE7A58-A43C-497D-BA99-511F42B0A2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2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628E71-FF95-481F-AEBF-41BF2FF52B7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27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C95832-D39B-4BDA-99C3-987E608900E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3C4ADF-50A4-43FB-BCF8-35A3A811AB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2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8997C6-0283-4D03-A25A-02EA0709AB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8471CD-0807-4D69-A8D9-8409226DDC4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89700</xdr:rowOff>
    </xdr:to>
    <xdr:sp macro="" textlink="">
      <xdr:nvSpPr>
        <xdr:cNvPr id="42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329E05-1F5C-479C-9D4E-4169B0D5435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10539D-3EA2-45D6-B96A-9BAEFCA50E7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2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7CEE26-B83A-498F-BE59-01807ACB4E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4635D1-BB88-4446-A2B0-4A0A9186F7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2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86E797-4D45-40F1-A2A2-C59D7795FE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28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0049F7-206E-4C97-937B-5FF0006AAE3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2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A03684-4EE7-45EF-A8DC-EBCFBA48BE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2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1CB8C-B3AB-4607-A4E6-613ED426964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DCD90-A8C6-4F6B-943B-0C5F7520F8E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28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DCE042-2457-4B35-9D72-7E5707320C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7F0C3F-9C32-4E91-9CAF-D173504A59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89700</xdr:rowOff>
    </xdr:to>
    <xdr:sp macro="" textlink="">
      <xdr:nvSpPr>
        <xdr:cNvPr id="42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40207A-F533-411A-B2C9-099AD5A3BA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88F818-791C-47A3-A9EE-364DF6AAC72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2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7F924C-55FA-4F9C-BF4B-99D4F6F500F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2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D3E2E2-0555-4CF9-817E-AADCACA0463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86286</xdr:rowOff>
    </xdr:to>
    <xdr:sp macro="" textlink="">
      <xdr:nvSpPr>
        <xdr:cNvPr id="42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2026-37E5-4247-958D-4E93DDD200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86283</xdr:rowOff>
    </xdr:to>
    <xdr:sp macro="" textlink="">
      <xdr:nvSpPr>
        <xdr:cNvPr id="429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8135B8-2CD8-4D4B-8E52-7AB1D05188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86286</xdr:rowOff>
    </xdr:to>
    <xdr:sp macro="" textlink="">
      <xdr:nvSpPr>
        <xdr:cNvPr id="42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98905-98DC-43F3-BA39-8AF25079B1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86283</xdr:rowOff>
    </xdr:to>
    <xdr:sp macro="" textlink="">
      <xdr:nvSpPr>
        <xdr:cNvPr id="42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187190-E4C0-4D16-A19F-36699DB348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2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B0830F-1A7C-4E87-86A3-96145E90A5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0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C4D471-5748-4430-960F-558F8B3648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BF42F-DA14-4F45-BD37-91B9AA4A7FD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84606</xdr:rowOff>
    </xdr:to>
    <xdr:sp macro="" textlink="">
      <xdr:nvSpPr>
        <xdr:cNvPr id="43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F371FC-92FA-4BBA-AEC8-510BADF8AE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F689DF-F81A-4203-A921-42318DA9DC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110F34-69A9-49BD-938D-BD867F0561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0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B8F2AA-F420-4268-92AB-F281A8D1071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88526</xdr:rowOff>
    </xdr:to>
    <xdr:sp macro="" textlink="">
      <xdr:nvSpPr>
        <xdr:cNvPr id="43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61EADA-D7BB-47EB-91AD-2CC10DCC9CD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88525</xdr:rowOff>
    </xdr:to>
    <xdr:sp macro="" textlink="">
      <xdr:nvSpPr>
        <xdr:cNvPr id="43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BC5C90-A8C7-419C-A2F4-E33E5B8A682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88526</xdr:rowOff>
    </xdr:to>
    <xdr:sp macro="" textlink="">
      <xdr:nvSpPr>
        <xdr:cNvPr id="43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85760D-4D0F-4C41-B6C8-9D2F66F6711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88525</xdr:rowOff>
    </xdr:to>
    <xdr:sp macro="" textlink="">
      <xdr:nvSpPr>
        <xdr:cNvPr id="43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9E615A-138D-41A6-BFB3-9736AFD9C94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5B2738-96DE-49ED-B438-7F70E4E7BF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1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91B3D4-9E73-4CD3-8ED9-D4D2C5600D0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C5EB31-1460-4AE2-A113-5E0930F715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84606</xdr:rowOff>
    </xdr:to>
    <xdr:sp macro="" textlink="">
      <xdr:nvSpPr>
        <xdr:cNvPr id="43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DDBFBC-601E-4243-8666-70F6A02D560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3498A0-80AE-4DDD-A82D-FA889B2B15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1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EDAB07-D2A4-4F29-A14B-7DCFC984587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A3AD6-36F7-49E9-A2E6-454A35AF32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3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9C13C6-0342-4AB8-AC08-AA3D17026DF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3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82B478-8F87-491B-9A82-2E584401E12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3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9611AE-B60B-4709-8F96-C402DDF084A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3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5271FC-BDBD-4157-A130-CCF03B0FE61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B80BB8-24E1-4495-9329-176B8C685A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32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61FC9F-6B15-45B5-9390-5833E592D68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566345-0B90-475B-8C93-C9A10DF0FA4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89700</xdr:rowOff>
    </xdr:to>
    <xdr:sp macro="" textlink="">
      <xdr:nvSpPr>
        <xdr:cNvPr id="43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75B57-A217-43AC-B670-A5F8D35EB49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6332EF-3CDF-4474-93E0-1CFBBDEB83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32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773FD6-219C-43E2-B5D0-CEE3C7B6D18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B98476-D4B8-458A-85B2-E17391054A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3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579702-67EF-47C9-8373-E7CA693BB4D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3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8D5DC0-E530-4F83-8579-3D1E3F98A47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3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DB90D7-ACE6-470F-9D9A-A1F5CD7421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3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97BE6C-24ED-4795-AC3A-3EAF468B9E4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283863-5BAB-49B6-B544-B7A4894665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3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8EC951-DE9E-4885-8B00-AC71F3FC5DB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30CDC5-D5F2-43CC-9E08-562EB41BD00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89700</xdr:rowOff>
    </xdr:to>
    <xdr:sp macro="" textlink="">
      <xdr:nvSpPr>
        <xdr:cNvPr id="43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898DAB-4213-447A-A08D-08413CCE457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37AFC-8CD2-4AC3-AA33-33207061C5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33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DE3523-9267-477E-8844-2D32AD35B6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698D-929F-4F4B-B7A5-2CE1D90962E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3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57BE-972C-4127-95A8-B28B133C02F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3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F5A47-C5F3-476F-AE2E-840F615AE78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91380</xdr:rowOff>
    </xdr:to>
    <xdr:sp macro="" textlink="">
      <xdr:nvSpPr>
        <xdr:cNvPr id="43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5EB32A-CDAD-4084-AB4B-F209117339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91377</xdr:rowOff>
    </xdr:to>
    <xdr:sp macro="" textlink="">
      <xdr:nvSpPr>
        <xdr:cNvPr id="43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B5FA6-0BF4-4C0A-A380-2265EA3B36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2631B8-2D82-4D47-856F-C252397F27C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34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63AF88-4BAF-4190-958A-A6815DE853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BF06BA-20EB-4F85-BA59-F55A7B435B1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89700</xdr:rowOff>
    </xdr:to>
    <xdr:sp macro="" textlink="">
      <xdr:nvSpPr>
        <xdr:cNvPr id="43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BEACD3-0CF3-4F61-8C98-65F62AEB96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93ACB4-561C-4D6B-8FCE-D43BAEC36ED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89696</xdr:rowOff>
    </xdr:to>
    <xdr:sp macro="" textlink="">
      <xdr:nvSpPr>
        <xdr:cNvPr id="43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F1929-7116-4F18-80C6-AC3A839B6CA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D38F8-E778-4349-9CF9-2F361217477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86286</xdr:rowOff>
    </xdr:to>
    <xdr:sp macro="" textlink="">
      <xdr:nvSpPr>
        <xdr:cNvPr id="43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4D50DA-01B8-44D9-9897-1228D95401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86283</xdr:rowOff>
    </xdr:to>
    <xdr:sp macro="" textlink="">
      <xdr:nvSpPr>
        <xdr:cNvPr id="43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3A5C4C-D56C-44D1-9FA0-96A0A8120E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86286</xdr:rowOff>
    </xdr:to>
    <xdr:sp macro="" textlink="">
      <xdr:nvSpPr>
        <xdr:cNvPr id="43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B5012E-69BE-49C6-9216-8CAD221E2F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86283</xdr:rowOff>
    </xdr:to>
    <xdr:sp macro="" textlink="">
      <xdr:nvSpPr>
        <xdr:cNvPr id="43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783CB2-08C7-4F63-B426-C5D9E4B4BFD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72B1A9-D038-492E-A308-C6068C400C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5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D7FC81-1312-46C1-81D6-A2AD94EA28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394769-5538-41E8-9776-3FF62CF8E4D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84606</xdr:rowOff>
    </xdr:to>
    <xdr:sp macro="" textlink="">
      <xdr:nvSpPr>
        <xdr:cNvPr id="43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B73E78-0319-4613-8704-B56796B3AAF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72F59A-C5D6-4B8A-A6C8-BED0D05D57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5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2BF409-D1A0-4BD2-8463-E18AF6ECE2A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1169EA-4374-4609-9CB0-E67AF27BCC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88526</xdr:rowOff>
    </xdr:to>
    <xdr:sp macro="" textlink="">
      <xdr:nvSpPr>
        <xdr:cNvPr id="43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1FE3F-E994-47EE-A14C-78FBE4366E8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88525</xdr:rowOff>
    </xdr:to>
    <xdr:sp macro="" textlink="">
      <xdr:nvSpPr>
        <xdr:cNvPr id="43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046C29-31DA-4C5B-8126-6217389753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88526</xdr:rowOff>
    </xdr:to>
    <xdr:sp macro="" textlink="">
      <xdr:nvSpPr>
        <xdr:cNvPr id="43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FBBCCC-6265-4350-BAB5-5EFEE1D6FC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88525</xdr:rowOff>
    </xdr:to>
    <xdr:sp macro="" textlink="">
      <xdr:nvSpPr>
        <xdr:cNvPr id="43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24B04-1D3F-4C87-ADAD-6BFD6B30E6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313943-0FA9-4ADD-9BE3-51776DE0E6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6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ADD32-A43C-4EA5-8FA9-B251F6FEDB5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DF5204-17B8-41D4-A382-AA201CA2A0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84606</xdr:rowOff>
    </xdr:to>
    <xdr:sp macro="" textlink="">
      <xdr:nvSpPr>
        <xdr:cNvPr id="43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558223-B509-4A44-A37D-7DD4E102E5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CCD14-409E-4B92-8152-7E92E8E160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84602</xdr:rowOff>
    </xdr:to>
    <xdr:sp macro="" textlink="">
      <xdr:nvSpPr>
        <xdr:cNvPr id="437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E65DD1-4033-444C-AAC6-8249B3230D5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84605</xdr:rowOff>
    </xdr:to>
    <xdr:sp macro="" textlink="">
      <xdr:nvSpPr>
        <xdr:cNvPr id="43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04445B-BDF8-4F42-B68B-269A025E37A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E5DF53-1069-4793-BA89-4480BCB4D80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369C79-1FC7-48B2-92C6-3C5562BF47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3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BE0E8E-DED0-40C4-9E74-7EB56DDBAC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C2163D-C273-4885-B00E-9945295426C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A4B297-8A05-46DB-AB9D-1ED1B4A0683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3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47D693-481A-4633-BF4A-2227128588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4954A2-E71C-4065-9499-2ACE949C4C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D08B71-96FD-44EC-9114-88309ABDB2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3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FAFC1E-E491-4818-8DC3-B168B8D990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3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3D51AD-CE4F-4175-A2C1-1CD4534852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3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47C334-AA2E-4237-B08C-5A342A1624A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3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433611-B4C6-4618-B7CE-1AC9AE4F4D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3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8C4E4-E188-4B9A-919C-55370A1D8B0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3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C7DF46-209D-45AA-8876-4A513A91E8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3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AAE9D0-F35C-4107-9330-587F3FA616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3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F72BED-353F-4979-A601-B2C71D69015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3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0DFE7-7016-448D-8324-DFB7FF9D27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3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182561-ADA2-46C9-B8DC-37430E537D3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3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35D75E-7FEB-4EC7-8019-4543830939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3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51EC43-799E-4194-A5E9-6F3965F63B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3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F3CAE8-4BA4-43F9-9226-B46D3930C5D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3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331909-45F9-43CE-A187-DDAA66736E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3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0D4532-FC74-4349-8D42-8EA7092A41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3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CBAF4-5565-4A76-BD7C-F2DC9B5ECC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3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A8AA02-A176-4E74-9D3A-DCE071D5E8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09AEA-A8FF-4F12-B16E-FF29CA2622D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3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A49DC-1343-46C1-8E7E-532CBC10E2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3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4349-7FB8-4298-B18A-949B7B82E8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4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8B1493-1720-4EA8-A552-E99D3DA7AD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4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17E2C5-9531-4918-9D4F-CAED9B38D4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4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4187CB-9B22-4457-BDF4-24D2A1B550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4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5D876E-83E2-4DB3-8205-4C5255E4DCD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89698</xdr:rowOff>
    </xdr:to>
    <xdr:sp macro="" textlink="">
      <xdr:nvSpPr>
        <xdr:cNvPr id="44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8B7423-9977-4352-8D09-075B30DA45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91431</xdr:rowOff>
    </xdr:to>
    <xdr:sp macro="" textlink="">
      <xdr:nvSpPr>
        <xdr:cNvPr id="44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2A9F7A-221C-489E-86FF-05996293596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4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2DBC84-532F-4B24-9F4F-CDBEEE270A3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84604</xdr:rowOff>
    </xdr:to>
    <xdr:sp macro="" textlink="">
      <xdr:nvSpPr>
        <xdr:cNvPr id="44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2B16DB-09C9-4703-9ABA-1012D8AFB05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4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B15A6-287D-4798-B081-FE20566B81B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86845</xdr:rowOff>
    </xdr:to>
    <xdr:sp macro="" textlink="">
      <xdr:nvSpPr>
        <xdr:cNvPr id="44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179FA6-AE70-4263-9ED9-15EE4351FDC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4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02D428-1EDF-4338-8D0E-3AC055CA81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81244</xdr:rowOff>
    </xdr:to>
    <xdr:sp macro="" textlink="">
      <xdr:nvSpPr>
        <xdr:cNvPr id="44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CE86B-8F69-47D8-8572-48D6391449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4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3576D5-1614-4852-A4DC-71DE1FE3C2A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4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C258C-6B22-4332-8B43-6CFE065610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4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ADF8A4-46AC-4776-B8E9-81CCF871F19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4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709695-B6D6-4057-9094-9FD31343DDE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4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2CDD43-8374-45C2-AB7D-A4E1C19D0B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4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A7F00D-0908-4EF5-B337-398E3272906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4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7F65F1-0602-49E6-9F47-36450F5A93F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98155</xdr:rowOff>
    </xdr:to>
    <xdr:sp macro="" textlink="">
      <xdr:nvSpPr>
        <xdr:cNvPr id="44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3FB2D5-7C4E-4058-9054-A9ADA2D9AC2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307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4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F4F0C7-8E0E-4095-A418-6F3A3FB913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165</xdr:row>
      <xdr:rowOff>0</xdr:rowOff>
    </xdr:from>
    <xdr:to>
      <xdr:col>13</xdr:col>
      <xdr:colOff>304800</xdr:colOff>
      <xdr:row>166</xdr:row>
      <xdr:rowOff>87968</xdr:rowOff>
    </xdr:to>
    <xdr:sp macro="" textlink="">
      <xdr:nvSpPr>
        <xdr:cNvPr id="44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AB28-D8E6-4DB2-B256-9A066D59A15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1610675"/>
          <a:ext cx="304800" cy="29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C3B18F-64B2-48C9-92AD-ACE3EF22F7F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53AD78-4BD6-41BB-8783-C20B1E39C5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4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723059-05C2-42F5-B06F-9917A20B14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E578A4-0FAF-47A3-B8F7-4DAA3459B5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E3EA4D-1178-45D8-A0BC-E7077A430F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4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214F3-8A61-4599-B5B9-BFF8ED6755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6B5E34-06BF-4BD3-B654-BBBC196C96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B7CD71-703D-4D81-81E1-600373B2C6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4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8DE52-84A3-4E3E-BC6D-638D5CD24BD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4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882AEB-0888-445D-BE06-18E70909A91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4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A62FE1-C006-45F7-83BD-925CFDF907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4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11974D-41AF-4F85-A36A-F55F2F7B5EC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4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506016-B6EB-479D-AF6C-E498AECA14E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4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342254-007D-464C-AD54-B513401FD4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4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E6C498-A5B6-4FF8-B2F4-9E1341DA9C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033A1A-A6C5-4937-8FB3-A8E09450DCF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0DD2CF-1DFB-4900-90E4-83D439FFA4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250ABA-FAB7-4A5B-B32F-CFD4BBE035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77B121-4338-4305-83B5-7A36D38CEB5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18AF6-BBA8-44EA-BE54-F87887649CE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9362F4-C115-419D-B07C-CC618908F2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1002F0-5689-40FD-A9EF-E6A844C683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11767D-7F9C-4EE3-B848-2FD8939A5F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BDF21B-FFE6-43EC-8D93-E2839C24910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984E38-18E5-4ECB-AEAB-66CDAED95BF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6BAFD6-A7ED-4B92-8E84-4FC9B5283A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F9CA7D-6C11-41F0-AC2D-9BFCA5E8DB4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4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8C748D-5593-464B-925B-54E68CF29D7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5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C6DED0-45EF-490B-BFC7-FC2583BDCF7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DEDF0C-D20F-4F7F-AA6A-ACF19F204FD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4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A3278F-47D7-4780-AF3A-193F0C497E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52D7E0-B54D-4DC6-859D-219CBA05F8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4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26A91D-F546-4A15-8D1E-4803F98FC5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4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C0049E-CF82-4BA8-9EE3-EA580A74500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4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264BE0-7992-4F34-8E60-0E7D79BBD0F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4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EF5B8-542C-48BC-9EDA-D5CA0C4F07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4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15B852-C56A-42CD-AB1D-07499386246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4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B22B4B-25AF-4D5A-AE9C-B0A5A1AE9F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4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4E3DAB-D529-4DDF-A326-0618A3FBBD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4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3F43-C8CF-4174-9E8F-5B75277BA1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903AFF-5848-4F5D-A184-DD2A9884B7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7F9D6-CBB5-4FE2-A877-9BB2D98843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BFD7C-F64D-43F8-80B0-94ED7930528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230574-A819-4AE8-A35D-52437C33EC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DE6541-18F9-4B3D-AAF3-699161603C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67AFBA-2053-4011-A41D-C8117412436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D8A430-C99B-43A5-BA45-44FC3743BD6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4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4C4DE3-E1FE-49F6-AD8B-96A4F5C79AB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B6C5F3-A0FA-449C-8281-28F08118835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4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19A31A-2A56-4F68-9A45-0041B4DA6B6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2C9966-8509-4462-AFAE-B5D9B7A7665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DB8C94-5B2E-4654-B0B3-C45DAA807E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4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9AF97-BE0C-4512-A56E-974B06E571A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55AB35-D14E-4BD1-91EC-DABC460828B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C60430-E868-4490-BFFB-C643384F05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4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B85116-733E-41E9-B241-A172569150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9CA70D-2917-495F-99D2-1223CB3708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68AF15-5969-4B91-B86F-1F18842D8A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4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66415E-8732-423B-A8E9-191B73365D7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4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C10301-2BC9-4B49-A3FE-C7E234AB05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4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4526F4-A631-4CAC-B2FE-1F3A84CFA47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4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61B979-47FE-4BFA-B670-9A2A9776D7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4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44D383-384C-4A17-8706-765526C55F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4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FE9ED-DAE3-47A2-8B2C-51C0ECBDEA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4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F35838-287D-45A3-AADB-CAC5223EE7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4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E127B1-0D18-4C5C-8615-7E97FD25D7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4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BDA49C-A4AF-4065-A4B5-664CD804E4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4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704EB1-910F-4210-8442-D7D660DC33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4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AF1EFF-BE21-425F-BA21-5F638E7E50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4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3EF2CE-5F76-4FF6-9BDD-B53E4AFD8D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4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41DF4C-0ACF-4028-AE8D-83304B6BD1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4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F38467-E07E-43FE-B6F7-3AF8F7123A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4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859758-BBEC-414A-B7F1-97290D1FB2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4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102B14-3CCE-4878-B2F0-ED947A6459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4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534A7-A1D2-4A5E-AF95-401BC3F447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D33FF-C914-4A35-B510-9DBB80AF651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4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5917BE-928D-49B3-92BC-241710C911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4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B6FEC4-1FCB-4923-B706-D482C0EE251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5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2BF0F9-18FF-4F23-AAD1-B3318DD900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5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BE939-62C9-40D1-B151-ABB9FF1CD6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5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957AFD-34A6-4ABC-A7BF-E46B00CCE2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5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0C746B-FEA9-458A-8BE0-042D9F5EED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5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77DBB3-C852-4277-A072-581FE433B00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5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34A9CB-85CF-4161-A823-78516A6B04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5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1194A9-05EC-4373-BDBC-415052731A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5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78378E-14FA-4F7C-91DC-B9E92C179AB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5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5F813D-AE7D-4439-9BD2-E1E92E43E0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5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60CD5E-C531-45BE-BD66-4CD3534A83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5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D800F9-DC74-4F9B-AEE2-E1C86E8E8F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5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31E2C-0DF3-46D2-A5E1-8F58590A58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5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A31202-9EE3-4CDC-AC27-E150AC9C62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5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104F0D-7077-4245-AF1D-FD85BC36847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5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168DA-1732-4F9D-AB59-094BFF36596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5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8565-6369-4DD4-86FA-E4789D8072F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5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3358E1-5CA6-4054-9ACD-86DF4297A5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5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DB1323-5E03-44E8-9644-FEBD34CED41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5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6FC340-D632-40F4-B045-0A89B584C5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5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772F43-F98F-4A7A-8530-46B6D87952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5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DD268B-3B0B-4B39-A7D6-5BCA8ABC73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5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DFA18F-FEB7-48D6-9F73-52F0775F69B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497F58-8FFF-4B60-AB72-3E4D5DC2388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5C8A1F-EF5A-4AF7-B0B2-3496666ED4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FFBAF6-C9BF-458B-94B9-A9DE8AD2BF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1D4AFE-3F6A-4208-BDA0-A5C8C9D894D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837036-3C18-4B3A-8020-95A5CC6842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4B01E-1933-4494-82D7-085E27586D6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DB084B-DA2B-49A9-8DE6-964BA50120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E8959C-A079-4B18-A90A-C80C5ABC0F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E918A9-42DB-48C4-870F-C9E4099646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5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F2312-359A-4049-AE5F-D3087356B7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5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F21804-20F4-475A-AE7D-9CCC33E097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5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8EB0B9-697D-4958-9CC3-E514485FC9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5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C3929B-3181-4599-8D03-9D0E7670B89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5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F9E379-45FD-4C66-B7C6-1241E395A9A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5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41287B-149F-4428-92D1-EDA4258C98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1233C-062F-4A75-8C96-002320CA4C4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5F8E99-56A5-42DE-A98E-F8A506A117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1C9B2B-E0CF-44C6-B6AF-5A226BFF14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5CBAEB-6AB3-40E3-9796-BE1C60BFE9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7A7D30-6715-4DED-AC01-B385F853A3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B23A78-A1D6-44D1-826A-B9518F31AD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A6DD4C-2273-43C7-8FBA-35EE6F9D3F6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96598D-EDBD-4229-8C4A-703CBBD09A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72B0E5-4025-4977-9508-6E3F0C5338A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7243FB-192F-478C-8B21-AA1CF913C0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FD8AFE-001A-4731-B558-5944413715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DFDEF6-9128-4123-9BA8-67D04459A0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95042D-1DE3-4C6A-B570-2BDBB8DC76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5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B21012-483A-41E6-A27F-9743F6DA26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8A9BE0-C5AF-4FA5-816F-B6416DB091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0384A6-275C-41B5-A3EB-77071DB5568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0F4DF3-6303-4E1F-81E2-F5A46A6D5DC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A8A241-093C-42F6-8C74-B88E876776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F5AF58-FB22-44C1-8CAA-D6C33EA267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5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E5CBE8-C9A7-4D44-BCDB-2C8BD71E69D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5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8F4C24-0767-46E4-8032-A3A3B59DC78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5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56B8CB-8A7A-47C2-96C5-7FECAF7381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5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E52457-CC0F-4454-AD2A-ECBA03F4863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5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0BC590-E3CD-4E5F-BAE6-A0BC27DFFE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5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60D072-AB66-4EA4-A4C6-35C9F3509D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86AB90-228B-47FE-A0A7-FD582127E2F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AE1FF8-9B0A-40AB-8096-1FC1F2D813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99358B-D6B0-4DBD-964A-3491980F355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A17A35-30AB-4B72-AEF4-E65FDB20BA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62B409-49B3-4D32-8A4F-156140118F5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E32CF-AC25-4466-A316-62A70619DB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0548AE-31D1-49C8-8F9A-AD767221AE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A1F33C-1726-43CE-90DB-677F8FC324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C70F1B-A37F-44A3-BAE9-143D8818FF6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F4DCFE-D599-4042-8F60-769BBCEE3E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D7FE96-2A42-4C34-A57D-C84CBE7860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77BAC4-4019-448A-8152-06E507DE1B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610E4E-7D99-44A7-994D-E43860AF04B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1C0D3A-77BA-45C8-A01B-333B9FD2797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3E707A-AC30-44F5-89E5-D09775F1FA8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4A614B-A7BE-4DD6-8D10-62CCA00A413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0E4AB8-FBC9-4BD7-8BEC-590E0C08F45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D88BD1-CD62-486D-9B46-CCAABF7741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1DBAE5-D350-4082-984C-51BB1EED26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5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6A12D2-BE70-4D6A-A40E-9D53F4A77D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5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CB7B04-426E-467C-AA4F-7E1FFC6EC3A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5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892FC7-F3C0-4EF7-AAC0-33CF64E074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5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DC95C8-F93C-441F-9E43-16C0A0E8FE0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5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453F53-456A-4B86-80C0-69C3ED5BCD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5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3587F3-94EE-49CB-8C82-BB763ED2386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88CC13-3C17-4D9B-A0C7-CEF9175937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FC56A5-4082-4DFE-B977-120C5FDA34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F5BCA0-072C-4CBD-9B3B-BA49AE880E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BAED5D-E526-430B-A5B4-0204D7489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A7D19E-6D32-43EA-B7DA-9A1FE78694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32F7FF-61D9-4377-8A2A-E2FB916BE8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1AAC23-1E00-4EDC-B7F4-1020C77130F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5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8906C3-0852-4330-8C09-217BF5CE53E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06CB2-F13C-4E27-9CC5-3B1375CC05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5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875715-B71A-4ACD-9CA1-2A71837BC81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D9D240-4DB8-4E69-B601-933EED9C5B9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5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272DDC-1338-4993-B437-38641F0B9C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5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B02FF-6F80-4D56-AA15-32A45098CA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860414-8BF2-46A7-820E-16E98E6826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7AD5F3-C021-428B-8968-28169C0471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6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278F60-CFC1-48EE-9C7D-497D222999A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969CE-A431-4CE4-B123-DABD5D1DB3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810CA-84E0-4D11-B6B2-96810BF40CB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6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D765FD-2D92-486A-A842-54ECD48F99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6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B520CB-4751-490B-98FA-6BFBD81D58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6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7431E-F2E6-4935-830D-C8C7EEBC38C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6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7B7428-2E9D-4B48-A6EC-8DCC1E62EE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6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9A59B8-803B-4FEE-B455-11A894E968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6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E2C0E4-B4CB-4109-9254-8D806013082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6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2AFA71-999D-40FB-BF30-5780521AF00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C865F6-41EE-465F-A229-C90B46A8F5F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ED975-E98A-4104-8DB2-08E8968530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203F3-D2D0-4DF2-8A49-3CFEACA4F5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CC70D5-57BD-487F-8EC1-815F3D99329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A6BBFF-7283-46AC-B0DD-A3D4BF7600D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BCC190-E876-4A89-8753-A7F3EA7A95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AEAAB6-92C5-45D8-BA76-A3A4DAC660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292474-C5B6-425F-8BFC-CE79D8407D4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1E7EEB-EFC8-4945-8A9B-F6DDC1C509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65623-A191-446F-8267-5942442942A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8273-F777-4DD3-A78F-75083514DB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315991-C77D-4C5D-A8DF-A5A340203AB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6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E3501E-73CA-405F-A90A-ECA05D3154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F0D1BA-D2C3-4F42-8355-180E49D1C7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CB1AB0-591B-4D49-8DC2-69F06B65512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6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5F74E8-42B9-4615-8A64-4F3AE8081C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C5BF6F-0E1B-44C4-81AC-BDB4612209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3380A0-CA27-4ED0-81B6-A392BBE170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6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348D81-9889-4DC6-B1A6-6F68C8B8ED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6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6E582F-B4C5-4380-891F-1C171E4CF7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6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6EE590-A58A-4D6C-949F-7A2E69DE68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6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3FA4F0-5728-4B38-9E9B-59570B45CF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6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E37AAB-0895-4D03-BBAB-53E45BD1B0B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6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A1E523-C1E7-4C59-9DB8-C55478F4A9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6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33A59D-2FFC-43F8-B47D-AE5BCA27F0A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36CFB4-1D10-4FA0-8348-F34846BF02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2A0A50-AB1E-420B-A6AA-727CF4E6D59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F77A98-B2C6-42EC-8A0B-D7E06A7FC2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5434E1-FE28-422B-A6BA-B3247431B8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952989-62D1-4C4B-B710-4B72A814D4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FFDCA1-6CDE-419A-ACC4-372F9BE23A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12A2C3-ADC3-45FE-AC52-D655CFEBF7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BB780F-5A2C-4C61-BAF8-A0C7F25D7CD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8F78D3-8E3F-42A8-91C1-A0EBC67BB6E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F449AA-4C38-4303-B587-9D6D5D7D7A4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2AEDC7-DE64-4A38-8FB0-EBD9ECF7FFC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184ED4-9300-407F-B556-AB9D71AF2A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6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15B1C3-354C-46B8-B5C4-80E040F3E41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5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7C2818-5222-4F85-9E8F-A7C60B17363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B17073-E9E7-4862-8583-AA1F34029B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6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3B50D5-4DF8-4F98-A280-86DF46278F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F1955-1379-4369-B0AF-A0F580027F0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6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25E0EA-69AE-4D6F-837D-599DC00D2A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6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3CFE94-FC62-4BE5-AB40-B799214FB6B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6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BB0B0-33F8-4D2A-BF5E-9A7264F87F2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6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FE476A-47DD-4EF8-9469-4BF37F4F4AE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6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7F93AC-D993-4E41-BE23-7683A695CA4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6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CA323A-89F5-4821-8081-986128259DE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6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AA8505-5FF2-4E95-8931-E03BB74A791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6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3D86EB-A2BC-4902-A700-34C565CB56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DD1AC-697E-4BB2-B2CC-4090A31FD6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2731B6-9B0B-41D7-B8A7-5BAD98EA91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A17AD6-E182-409D-B7C5-1212E0E019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D67CC-65F1-4823-8FFE-DCCCEDC798A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08316D-A884-46F9-A7E7-F734013A9F8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B8BB4D-8E25-4496-88A8-B373DFB981F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A74F5A-610A-4F28-B40B-116AADC9276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6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AC2BC9-E433-49B6-89D1-128F4AD114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62713-01D9-487D-A337-24C325A2AA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6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550C2D-2A02-4F3D-8590-6CA99F1E524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C5185A-16DF-46AB-B333-8F0EC65494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DBBD06-D1C6-461F-A9AE-CB0021815C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6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7AAE6-EC2B-4525-83C3-BEEADFC895D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4D4AB0-333A-4718-A2E4-C32754DF5E6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93F277-CDCD-4078-8DB1-B8F57373229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6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0BAB3-82EC-458A-9664-5498367120E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7691A8-01DE-48B3-8D31-610462B0CC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E2F088-127F-4C0F-A8BA-69FCC2E9B4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6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605DD0-A3FF-4054-9E6B-DE356EC506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6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5C20-FE85-46EE-8E26-95A48E4664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6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1C6B81-B565-401B-AA3B-3651769461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6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B93D49-9B75-4111-9140-06DBBB08A7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68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E63D5-2532-4AEC-B7ED-F802033D793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6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13DD32-0664-486D-A70F-139E9B34B6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6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BEE27C-5E89-45C1-9240-2C74A2C2AD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C705D-221D-4DCB-A35F-2745BD620DC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546E1-40B0-4566-BA4A-2B3A26F690E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EF3678-59B0-44ED-BC04-5D8DD99AE6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1DA00A-DA55-4BB7-9798-18D81D7E5E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A7B3EA-E2E9-4E3A-A27C-EFF7DBE78B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8E8E87-AA58-4A3A-957D-986192E39D1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8A2F8F-B23C-4E2B-8F33-E574F38CCD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6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96D7FE-B229-4928-9658-E93D9AEE1C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2A2070-BCAC-427C-B50E-DD91D80A01A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6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CB4959-C379-43A0-9343-BB3B7C7984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BD0FE3-F2DF-4567-A265-2C2FF39C5C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6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43436B-6462-489D-AA61-9F846E126B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6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3CB663-138D-4E6C-96BE-B5B6CDEE51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7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370D80-141A-44C0-AC3F-1AB00674EC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7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483B68-14EF-46C3-8F22-0EAE9BA443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7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0443CF-C0E9-4E8E-8329-2BC4641C12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7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644183-B5A2-4233-B352-0734B2B424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9723"/>
    <xdr:sp macro="" textlink="">
      <xdr:nvSpPr>
        <xdr:cNvPr id="47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387F29-0A20-40E5-B946-33999D4BF4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1456"/>
    <xdr:sp macro="" textlink="">
      <xdr:nvSpPr>
        <xdr:cNvPr id="47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D25D2-AD79-4293-A4A9-7D846852366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7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C72294-7A8C-4944-B799-487AA282613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4629"/>
    <xdr:sp macro="" textlink="">
      <xdr:nvSpPr>
        <xdr:cNvPr id="47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D653FC-D681-4068-9AF8-9A6CBE094E2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7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36D1F4-DCD1-4691-8287-57101EDE1E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6870"/>
    <xdr:sp macro="" textlink="">
      <xdr:nvSpPr>
        <xdr:cNvPr id="47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30865C-A96B-4737-B599-F3AAC02EB6C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7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EF21FE-7B33-4DDC-8043-0834513C0C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1269"/>
    <xdr:sp macro="" textlink="">
      <xdr:nvSpPr>
        <xdr:cNvPr id="47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767764-9D88-41AE-87D7-286CDE5AB5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7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5723F7-93B3-4A69-88EE-E4265E678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7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EB24EB-4314-4E3C-8563-1F2F70E7A2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7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B6BC04-8604-4D3C-8554-AEFFDC4D5D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7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4F91CE-0451-4780-B87B-8A4EE7ABEDC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7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5160DD-3EFF-43FF-B5C8-A549137B34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7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D21B34-A863-4D81-8D5F-7846585F0B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7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A869E1-0D7B-4C45-801E-0FE8261554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180"/>
    <xdr:sp macro="" textlink="">
      <xdr:nvSpPr>
        <xdr:cNvPr id="47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95225-8066-466D-B966-9DE1F5A71A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7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14F61B-AB75-4113-AEB9-7999B293198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87993"/>
    <xdr:sp macro="" textlink="">
      <xdr:nvSpPr>
        <xdr:cNvPr id="47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D3FA14-E3F7-4881-9063-FD678068F8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B56557-0988-49AF-9C32-C4BBDEB5D9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F52715-13DF-468A-ACAC-9F8E13A615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7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9E547-F88E-49BA-A3FB-98B4ACD3E3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BC82C0-A07E-4CEE-80F6-45D0592952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851263-2100-4651-9A5D-25F6023CAD2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7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0A5313-3F11-4A5E-BC6C-C53B1A32A7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0296C8-2770-4AD4-8E62-CF6EC0E452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1D09E2-7C13-428D-A87A-878516A58D6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7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597432-CFB2-411D-A242-0226BBA4AB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7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F548B-C5AB-4CAA-91EB-1AF868A1B03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7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997695-924C-4B0A-B020-CC6A627A90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7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BC004-6031-4CC7-AE73-E8FBD439C0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7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8327B2-0EA2-43C3-A1DF-ECF94F9EF1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7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0AE7C7-A8C1-4D54-AAA0-A6B25A4DCC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7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1AFCB2-78E1-4186-9958-1660CB08D7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0DFC97-ABED-4E18-A41A-09556A7BE0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040645-1D8B-4A5C-900C-7996EDDC7F3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9836AF-1B33-453C-B3C9-69BC0060074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D370C9-8552-4281-B9C7-7BFF303692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390B21-C227-4FE6-A10E-6612EA6DE7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24FC90-807D-4F1B-9281-E03A951645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ECA980-669A-45C0-9637-B17A7FAC68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B33938-BD94-4812-9610-479FA3626E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ADBC54-F70D-421E-9576-5BDCD0A2E62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68F580-0F0F-4992-B1A9-67F48B5254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524584-1B93-465B-BF9F-1602935822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A80A74-FBF3-4CA2-AB09-3F106F0486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7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B2609C-004D-4B53-8A56-BD10B8DA85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5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36F824-0FC4-4B0D-B291-4AA53F0B816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AC5928-D5A7-4CDC-8480-E3AC776DD0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7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7AA9D-0656-441D-B317-FF35705E425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B520BC-4821-40DA-B8AB-85CB001784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33F48A-C7BF-4CEB-8A44-0384ED8E65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7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B848A-2F1D-4F2F-AC1A-EE3C3CCEED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75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50292F-E385-4E55-8F15-33BB3810A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7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D76B-F6BA-4223-BCDB-CC5C2861998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7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157058-A725-45B1-A814-8253B8655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7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53C6C2-554A-40D2-8D43-F43EDE9CEA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7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D1ED14-F15E-4D8C-ABD5-EE26607B83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7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517794-17D1-4B50-A6CE-A2BAB384C6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D8C711-825C-489F-A466-F9D9760F22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7D19D-2E62-457D-A920-C5EB0963C2C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111307-5FF6-4821-BADD-33E2ECEE2A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449AFE-FB21-4127-9384-9E3751FF3F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27FF34-398D-4942-88D2-FE4C4CCB90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DBA5FB-8D66-4038-B6C5-59E01372E1A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CE5ED1-51F3-40E6-AA11-88EB345B2C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7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5C7F10-904F-496E-A3A2-6F5C86F659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EC1412-C590-4F78-AFED-A34EBBDEEFB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7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D28ECE-D3A6-4365-A649-4C4C561B2F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7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1E36CE-50B0-405C-B5AC-B0737ADE48A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7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462B43-373E-4A8C-B3D3-8080BC6CDFB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7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E54B2-2966-487B-8E5E-6A7B511E51B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77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DD47AE-E152-4278-8944-D864CA8A4C8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14D86C-ACC9-4080-B294-A0F2D2B89A8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77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D6DE5-EC49-4DBA-87A9-1BEB239FAFE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102421-3C5C-4DE3-899F-184678F9716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50"/>
    <xdr:sp macro="" textlink="">
      <xdr:nvSpPr>
        <xdr:cNvPr id="47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5AF5B2-A057-4FEE-90F0-50D8652DC2A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B0D6C2-2D69-440E-BF61-F0B60A338D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78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534350-4C8F-423C-9B2C-D13D406CAB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BA77A-60A0-4B01-8429-878A845132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7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E04D16-0D96-4A3C-93D2-88032D8661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7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BE7A58-A43C-497D-BA99-511F42B0A2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7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628E71-FF95-481F-AEBF-41BF2FF52B7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78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C95832-D39B-4BDA-99C3-987E608900E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3C4ADF-50A4-43FB-BCF8-35A3A811AB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78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8997C6-0283-4D03-A25A-02EA0709AB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8471CD-0807-4D69-A8D9-8409226DDC4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50"/>
    <xdr:sp macro="" textlink="">
      <xdr:nvSpPr>
        <xdr:cNvPr id="47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329E05-1F5C-479C-9D4E-4169B0D5435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10539D-3EA2-45D6-B96A-9BAEFCA50E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79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7CEE26-B83A-498F-BE59-01807ACB4E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4635D1-BB88-4446-A2B0-4A0A9186F7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7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86E797-4D45-40F1-A2A2-C59D7795FE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7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0049F7-206E-4C97-937B-5FF0006AAE3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7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A03684-4EE7-45EF-A8DC-EBCFBA48BE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79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1CB8C-B3AB-4607-A4E6-613ED426964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7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DCD90-A8C6-4F6B-943B-0C5F7520F8E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79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DCE042-2457-4B35-9D72-7E5707320C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0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7F0C3F-9C32-4E91-9CAF-D173504A59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50"/>
    <xdr:sp macro="" textlink="">
      <xdr:nvSpPr>
        <xdr:cNvPr id="48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40207A-F533-411A-B2C9-099AD5A3BA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88F818-791C-47A3-A9EE-364DF6AAC72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0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7F924C-55FA-4F9C-BF4B-99D4F6F500F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D3E2E2-0555-4CF9-817E-AADCACA0463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6"/>
    <xdr:sp macro="" textlink="">
      <xdr:nvSpPr>
        <xdr:cNvPr id="48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2026-37E5-4247-958D-4E93DDD200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3"/>
    <xdr:sp macro="" textlink="">
      <xdr:nvSpPr>
        <xdr:cNvPr id="48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8135B8-2CD8-4D4B-8E52-7AB1D05188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6"/>
    <xdr:sp macro="" textlink="">
      <xdr:nvSpPr>
        <xdr:cNvPr id="48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98905-98DC-43F3-BA39-8AF25079B1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3"/>
    <xdr:sp macro="" textlink="">
      <xdr:nvSpPr>
        <xdr:cNvPr id="480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187190-E4C0-4D16-A19F-36699DB348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B0830F-1A7C-4E87-86A3-96145E90A5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1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C4D471-5748-4430-960F-558F8B3648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BF42F-DA14-4F45-BD37-91B9AA4A7FD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6"/>
    <xdr:sp macro="" textlink="">
      <xdr:nvSpPr>
        <xdr:cNvPr id="48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F371FC-92FA-4BBA-AEC8-510BADF8AE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F689DF-F81A-4203-A921-42318DA9DC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1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110F34-69A9-49BD-938D-BD867F0561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1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B8F2AA-F420-4268-92AB-F281A8D1071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6"/>
    <xdr:sp macro="" textlink="">
      <xdr:nvSpPr>
        <xdr:cNvPr id="48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61EADA-D7BB-47EB-91AD-2CC10DCC9CD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5"/>
    <xdr:sp macro="" textlink="">
      <xdr:nvSpPr>
        <xdr:cNvPr id="481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BC5C90-A8C7-419C-A2F4-E33E5B8A6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6"/>
    <xdr:sp macro="" textlink="">
      <xdr:nvSpPr>
        <xdr:cNvPr id="48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85760D-4D0F-4C41-B6C8-9D2F66F6711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5"/>
    <xdr:sp macro="" textlink="">
      <xdr:nvSpPr>
        <xdr:cNvPr id="481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9E615A-138D-41A6-BFB3-9736AFD9C94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5B2738-96DE-49ED-B438-7F70E4E7BF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2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91B3D4-9E73-4CD3-8ED9-D4D2C5600D0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C5EB31-1460-4AE2-A113-5E0930F715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6"/>
    <xdr:sp macro="" textlink="">
      <xdr:nvSpPr>
        <xdr:cNvPr id="48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DDBFBC-601E-4243-8666-70F6A02D560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3498A0-80AE-4DDD-A82D-FA889B2B15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2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EDAB07-D2A4-4F29-A14B-7DCFC984587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A3AD6-36F7-49E9-A2E6-454A35AF32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8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9C13C6-0342-4AB8-AC08-AA3D17026D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8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82B478-8F87-491B-9A82-2E584401E12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8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9611AE-B60B-4709-8F96-C402DDF084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83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5271FC-BDBD-4157-A130-CCF03B0FE6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B80BB8-24E1-4495-9329-176B8C685A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3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61FC9F-6B15-45B5-9390-5833E592D68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566345-0B90-475B-8C93-C9A10DF0FA4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50"/>
    <xdr:sp macro="" textlink="">
      <xdr:nvSpPr>
        <xdr:cNvPr id="48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75B57-A217-43AC-B670-A5F8D35EB49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6332EF-3CDF-4474-93E0-1CFBBDEB83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773FD6-219C-43E2-B5D0-CEE3C7B6D18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B98476-D4B8-458A-85B2-E17391054A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8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579702-67EF-47C9-8373-E7CA693BB4D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8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8D5DC0-E530-4F83-8579-3D1E3F98A4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8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DB90D7-ACE6-470F-9D9A-A1F5CD7421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84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97BE6C-24ED-4795-AC3A-3EAF468B9E4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283863-5BAB-49B6-B544-B7A4894665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8EC951-DE9E-4885-8B00-AC71F3FC5DB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30CDC5-D5F2-43CC-9E08-562EB41BD00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50"/>
    <xdr:sp macro="" textlink="">
      <xdr:nvSpPr>
        <xdr:cNvPr id="48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898DAB-4213-447A-A08D-08413CCE457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37AFC-8CD2-4AC3-AA33-33207061C5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4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DE3523-9267-477E-8844-2D32AD35B6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698D-929F-4F4B-B7A5-2CE1D90962E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8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57BE-972C-4127-95A8-B28B133C02F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85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F5A47-C5F3-476F-AE2E-840F615AE78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30"/>
    <xdr:sp macro="" textlink="">
      <xdr:nvSpPr>
        <xdr:cNvPr id="48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5EB32A-CDAD-4084-AB4B-F20911733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27"/>
    <xdr:sp macro="" textlink="">
      <xdr:nvSpPr>
        <xdr:cNvPr id="485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B5FA6-0BF4-4C0A-A380-2265EA3B36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2631B8-2D82-4D47-856F-C252397F27C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63AF88-4BAF-4190-958A-A6815DE853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BF06BA-20EB-4F85-BA59-F55A7B435B1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50"/>
    <xdr:sp macro="" textlink="">
      <xdr:nvSpPr>
        <xdr:cNvPr id="48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BEACD3-0CF3-4F61-8C98-65F62AEB96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93ACB4-561C-4D6B-8FCE-D43BAEC36ED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6"/>
    <xdr:sp macro="" textlink="">
      <xdr:nvSpPr>
        <xdr:cNvPr id="48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F1929-7116-4F18-80C6-AC3A839B6CA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D38F8-E778-4349-9CF9-2F361217477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6"/>
    <xdr:sp macro="" textlink="">
      <xdr:nvSpPr>
        <xdr:cNvPr id="48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4D50DA-01B8-44D9-9897-1228D95401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3"/>
    <xdr:sp macro="" textlink="">
      <xdr:nvSpPr>
        <xdr:cNvPr id="486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3A5C4C-D56C-44D1-9FA0-96A0A8120E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6"/>
    <xdr:sp macro="" textlink="">
      <xdr:nvSpPr>
        <xdr:cNvPr id="48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B5012E-69BE-49C6-9216-8CAD221E2F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5833"/>
    <xdr:sp macro="" textlink="">
      <xdr:nvSpPr>
        <xdr:cNvPr id="486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783CB2-08C7-4F63-B426-C5D9E4B4BF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72B1A9-D038-492E-A308-C6068C400C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6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D7FC81-1312-46C1-81D6-A2AD94EA28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394769-5538-41E8-9776-3FF62CF8E4D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6"/>
    <xdr:sp macro="" textlink="">
      <xdr:nvSpPr>
        <xdr:cNvPr id="48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B73E78-0319-4613-8704-B56796B3AAF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6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72F59A-C5D6-4B8A-A6C8-BED0D05D57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6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2BF409-D1A0-4BD2-8463-E18AF6ECE2A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1169EA-4374-4609-9CB0-E67AF27BCC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6"/>
    <xdr:sp macro="" textlink="">
      <xdr:nvSpPr>
        <xdr:cNvPr id="48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1FE3F-E994-47EE-A14C-78FBE4366E8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5"/>
    <xdr:sp macro="" textlink="">
      <xdr:nvSpPr>
        <xdr:cNvPr id="487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046C29-31DA-4C5B-8126-6217389753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6"/>
    <xdr:sp macro="" textlink="">
      <xdr:nvSpPr>
        <xdr:cNvPr id="48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FBBCCC-6265-4350-BAB5-5EFEE1D6FC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8075"/>
    <xdr:sp macro="" textlink="">
      <xdr:nvSpPr>
        <xdr:cNvPr id="487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24B04-1D3F-4C87-ADAD-6BFD6B30E6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313943-0FA9-4ADD-9BE3-51776DE0E6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7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ADD32-A43C-4EA5-8FA9-B251F6FEDB5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DF5204-17B8-41D4-A382-AA201CA2A0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6"/>
    <xdr:sp macro="" textlink="">
      <xdr:nvSpPr>
        <xdr:cNvPr id="48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558223-B509-4A44-A37D-7DD4E102E5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CCD14-409E-4B92-8152-7E92E8E160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2"/>
    <xdr:sp macro="" textlink="">
      <xdr:nvSpPr>
        <xdr:cNvPr id="488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E65DD1-4033-444C-AAC6-8249B3230D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5"/>
    <xdr:sp macro="" textlink="">
      <xdr:nvSpPr>
        <xdr:cNvPr id="488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04445B-BDF8-4F42-B68B-269A025E37A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E5DF53-1069-4793-BA89-4480BCB4D80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369C79-1FC7-48B2-92C6-3C5562BF47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8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BE0E8E-DED0-40C4-9E74-7EB56DDBAC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C2163D-C273-4885-B00E-9945295426C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A4B297-8A05-46DB-AB9D-1ED1B4A0683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8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47D693-481A-4633-BF4A-2227128588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4954A2-E71C-4065-9499-2ACE949C4C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8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D08B71-96FD-44EC-9114-88309ABDB2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8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FAFC1E-E491-4818-8DC3-B168B8D990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8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3D51AD-CE4F-4175-A2C1-1CD4534852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8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47C334-AA2E-4237-B08C-5A342A1624A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8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433611-B4C6-4618-B7CE-1AC9AE4F4D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8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8C4E4-E188-4B9A-919C-55370A1D8B0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8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C7DF46-209D-45AA-8876-4A513A91E8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8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AAE9D0-F35C-4107-9330-587F3FA616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8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F72BED-353F-4979-A601-B2C71D69015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8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0DFE7-7016-448D-8324-DFB7FF9D27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8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182561-ADA2-46C9-B8DC-37430E537D3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35D75E-7FEB-4EC7-8019-4543830939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51EC43-799E-4194-A5E9-6F3965F63B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F3CAE8-4BA4-43F9-9226-B46D3930C5D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331909-45F9-43CE-A187-DDAA66736E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0D4532-FC74-4349-8D42-8EA7092A41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CBAF4-5565-4A76-BD7C-F2DC9B5ECC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A8AA02-A176-4E74-9D3A-DCE071D5E8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9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09AEA-A8FF-4F12-B16E-FF29CA2622D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9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A49DC-1343-46C1-8E7E-532CBC10E2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9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4349-7FB8-4298-B18A-949B7B82E8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9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8B1493-1720-4EA8-A552-E99D3DA7AD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9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17E2C5-9531-4918-9D4F-CAED9B38D4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9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4187CB-9B22-4457-BDF4-24D2A1B550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9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5D876E-83E2-4DB3-8205-4C5255E4DCD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9248"/>
    <xdr:sp macro="" textlink="">
      <xdr:nvSpPr>
        <xdr:cNvPr id="49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8B7423-9977-4352-8D09-075B30DA45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0981"/>
    <xdr:sp macro="" textlink="">
      <xdr:nvSpPr>
        <xdr:cNvPr id="49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2A9F7A-221C-489E-86FF-05996293596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9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2DBC84-532F-4B24-9F4F-CDBEEE270A3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4154"/>
    <xdr:sp macro="" textlink="">
      <xdr:nvSpPr>
        <xdr:cNvPr id="49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2B16DB-09C9-4703-9ABA-1012D8AFB05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9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B15A6-287D-4798-B081-FE20566B81B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6395"/>
    <xdr:sp macro="" textlink="">
      <xdr:nvSpPr>
        <xdr:cNvPr id="49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179FA6-AE70-4263-9ED9-15EE4351FDC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9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02D428-1EDF-4338-8D0E-3AC055CA81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0794"/>
    <xdr:sp macro="" textlink="">
      <xdr:nvSpPr>
        <xdr:cNvPr id="49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CE86B-8F69-47D8-8572-48D6391449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3576D5-1614-4852-A4DC-71DE1FE3C2A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C258C-6B22-4332-8B43-6CFE065610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ADF8A4-46AC-4776-B8E9-81CCF871F19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709695-B6D6-4057-9094-9FD31343DDE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2CDD43-8374-45C2-AB7D-A4E1C19D0B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A7F00D-0908-4EF5-B337-398E327290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7F65F1-0602-49E6-9F47-36450F5A93F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307705"/>
    <xdr:sp macro="" textlink="">
      <xdr:nvSpPr>
        <xdr:cNvPr id="49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3FB2D5-7C4E-4058-9054-A9ADA2D9AC2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F4F0C7-8E0E-4095-A418-6F3A3FB913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304800" cy="297518"/>
    <xdr:sp macro="" textlink="">
      <xdr:nvSpPr>
        <xdr:cNvPr id="49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AB28-D8E6-4DB2-B256-9A066D59A15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161067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C3B18F-64B2-48C9-92AD-ACE3EF22F7F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53AD78-4BD6-41BB-8783-C20B1E39C5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49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723059-05C2-42F5-B06F-9917A20B14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E578A4-0FAF-47A3-B8F7-4DAA3459B5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E3EA4D-1178-45D8-A0BC-E7077A430F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49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214F3-8A61-4599-B5B9-BFF8ED6755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6B5E34-06BF-4BD3-B654-BBBC196C96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B7CD71-703D-4D81-81E1-600373B2C6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49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8DE52-84A3-4E3E-BC6D-638D5CD24BD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49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882AEB-0888-445D-BE06-18E70909A91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49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A62FE1-C006-45F7-83BD-925CFDF907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49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11974D-41AF-4F85-A36A-F55F2F7B5EC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49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506016-B6EB-479D-AF6C-E498AECA14E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49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342254-007D-464C-AD54-B513401FD4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49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E6C498-A5B6-4FF8-B2F4-9E1341DA9C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033A1A-A6C5-4937-8FB3-A8E09450DCF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0DD2CF-1DFB-4900-90E4-83D439FFA4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250ABA-FAB7-4A5B-B32F-CFD4BBE035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77B121-4338-4305-83B5-7A36D38CEB5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18AF6-BBA8-44EA-BE54-F87887649CE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9362F4-C115-419D-B07C-CC618908F2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1002F0-5689-40FD-A9EF-E6A844C683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11767D-7F9C-4EE3-B848-2FD8939A5F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BDF21B-FFE6-43EC-8D93-E2839C24910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984E38-18E5-4ECB-AEAB-66CDAED95BF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6BAFD6-A7ED-4B92-8E84-4FC9B5283A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F9CA7D-6C11-41F0-AC2D-9BFCA5E8DB4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49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8C748D-5593-464B-925B-54E68CF29D7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C6DED0-45EF-490B-BFC7-FC2583BDCF7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DEDF0C-D20F-4F7F-AA6A-ACF19F204FD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49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A3278F-47D7-4780-AF3A-193F0C497E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52D7E0-B54D-4DC6-859D-219CBA05F8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49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26A91D-F546-4A15-8D1E-4803F98FC5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49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C0049E-CF82-4BA8-9EE3-EA580A74500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49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264BE0-7992-4F34-8E60-0E7D79BBD0F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49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EF5B8-542C-48BC-9EDA-D5CA0C4F07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49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15B852-C56A-42CD-AB1D-07499386246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49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B22B4B-25AF-4D5A-AE9C-B0A5A1AE9FD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49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4E3DAB-D529-4DDF-A326-0618A3FBBD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49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3F43-C8CF-4174-9E8F-5B75277BA1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903AFF-5848-4F5D-A184-DD2A9884B7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7F9D6-CBB5-4FE2-A877-9BB2D98843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BFD7C-F64D-43F8-80B0-94ED7930528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230574-A819-4AE8-A35D-52437C33EC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DE6541-18F9-4B3D-AAF3-699161603CA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67AFBA-2053-4011-A41D-C8117412436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D8A430-C99B-43A5-BA45-44FC3743BD6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49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4C4DE3-E1FE-49F6-AD8B-96A4F5C79AB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B6C5F3-A0FA-449C-8281-28F08118835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49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19A31A-2A56-4F68-9A45-0041B4DA6B6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49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2C9966-8509-4462-AFAE-B5D9B7A7665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49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DB8C94-5B2E-4654-B0B3-C45DAA807E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49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9AF97-BE0C-4512-A56E-974B06E571A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49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55AB35-D14E-4BD1-91EC-DABC460828B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49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C60430-E868-4490-BFFB-C643384F05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49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B85116-733E-41E9-B241-A172569150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49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9CA70D-2917-495F-99D2-1223CB3708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49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68AF15-5969-4B91-B86F-1F18842D8A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49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66415E-8732-423B-A8E9-191B73365D7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49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C10301-2BC9-4B49-A3FE-C7E234AB05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49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4526F4-A631-4CAC-B2FE-1F3A84CFA47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49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61B979-47FE-4BFA-B670-9A2A9776D7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49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44D383-384C-4A17-8706-765526C55F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49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FE9ED-DAE3-47A2-8B2C-51C0ECBDEA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49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F35838-287D-45A3-AADB-CAC5223EE7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49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E127B1-0D18-4C5C-8615-7E97FD25D7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49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BDA49C-A4AF-4065-A4B5-664CD804E4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49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704EB1-910F-4210-8442-D7D660DC33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AF1EFF-BE21-425F-BA21-5F638E7E50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3EF2CE-5F76-4FF6-9BDD-B53E4AFD8D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41DF4C-0ACF-4028-AE8D-83304B6BD1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F38467-E07E-43FE-B6F7-3AF8F7123A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859758-BBEC-414A-B7F1-97290D1FB2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102B14-3CCE-4878-B2F0-ED947A6459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534A7-A1D2-4A5E-AF95-401BC3F447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0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D33FF-C914-4A35-B510-9DBB80AF651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0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5917BE-928D-49B3-92BC-241710C911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0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B6FEC4-1FCB-4923-B706-D482C0EE251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0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2BF0F9-18FF-4F23-AAD1-B3318DD9005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0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BE939-62C9-40D1-B151-ABB9FF1CD6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0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957AFD-34A6-4ABC-A7BF-E46B00CCE2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0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0C746B-FEA9-458A-8BE0-042D9F5EED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0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77DBB3-C852-4277-A072-581FE433B00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0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34A9CB-85CF-4161-A823-78516A6B04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0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1194A9-05EC-4373-BDBC-415052731A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0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78378E-14FA-4F7C-91DC-B9E92C179AB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0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5F813D-AE7D-4439-9BD2-E1E92E43E0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0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60CD5E-C531-45BE-BD66-4CD3534A83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0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D800F9-DC74-4F9B-AEE2-E1C86E8E8F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0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31E2C-0DF3-46D2-A5E1-8F58590A58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A31202-9EE3-4CDC-AC27-E150AC9C62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104F0D-7077-4245-AF1D-FD85BC36847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168DA-1732-4F9D-AB59-094BFF36596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8565-6369-4DD4-86FA-E4789D8072F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3358E1-5CA6-4054-9ACD-86DF4297A5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DB1323-5E03-44E8-9644-FEBD34CED41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6FC340-D632-40F4-B045-0A89B584C53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0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772F43-F98F-4A7A-8530-46B6D87952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DD268B-3B0B-4B39-A7D6-5BCA8ABC73F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0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DFA18F-FEB7-48D6-9F73-52F0775F69B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497F58-8FFF-4B60-AB72-3E4D5DC2388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5C8A1F-EF5A-4AF7-B0B2-3496666ED4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FFBAF6-C9BF-458B-94B9-A9DE8AD2BF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1D4AFE-3F6A-4208-BDA0-A5C8C9D894D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837036-3C18-4B3A-8020-95A5CC6842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4B01E-1933-4494-82D7-085E27586D6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DB084B-DA2B-49A9-8DE6-964BA50120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E8959C-A079-4B18-A90A-C80C5ABC0F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E918A9-42DB-48C4-870F-C9E4099646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0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F2312-359A-4049-AE5F-D3087356B7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0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F21804-20F4-475A-AE7D-9CCC33E097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0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8EB0B9-697D-4958-9CC3-E514485FC9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0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C3929B-3181-4599-8D03-9D0E7670B89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0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F9E379-45FD-4C66-B7C6-1241E395A9A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0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41287B-149F-4428-92D1-EDA4258C98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1233C-062F-4A75-8C96-002320CA4C4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5F8E99-56A5-42DE-A98E-F8A506A117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1C9B2B-E0CF-44C6-B6AF-5A226BFF14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5CBAEB-6AB3-40E3-9796-BE1C60BFE9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7A7D30-6715-4DED-AC01-B385F853A3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B23A78-A1D6-44D1-826A-B9518F31AD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A6DD4C-2273-43C7-8FBA-35EE6F9D3F6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96598D-EDBD-4229-8C4A-703CBBD09A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72B0E5-4025-4977-9508-6E3F0C5338A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7243FB-192F-478C-8B21-AA1CF913C0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FD8AFE-001A-4731-B558-5944413715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DFDEF6-9128-4123-9BA8-67D04459A0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95042D-1DE3-4C6A-B570-2BDBB8DC76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B21012-483A-41E6-A27F-9743F6DA26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8A9BE0-C5AF-4FA5-816F-B6416DB0917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0384A6-275C-41B5-A3EB-77071DB5568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0F4DF3-6303-4E1F-81E2-F5A46A6D5DC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A8A241-093C-42F6-8C74-B88E876776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F5AF58-FB22-44C1-8CAA-D6C33EA267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0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E5CBE8-C9A7-4D44-BCDB-2C8BD71E69D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0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8F4C24-0767-46E4-8032-A3A3B59DC78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0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56B8CB-8A7A-47C2-96C5-7FECAF7381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0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E52457-CC0F-4454-AD2A-ECBA03F4863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0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0BC590-E3CD-4E5F-BAE6-A0BC27DFFE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0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60D072-AB66-4EA4-A4C6-35C9F3509D2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86AB90-228B-47FE-A0A7-FD582127E2F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AE1FF8-9B0A-40AB-8096-1FC1F2D813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99358B-D6B0-4DBD-964A-3491980F355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A17A35-30AB-4B72-AEF4-E65FDB20BA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62B409-49B3-4D32-8A4F-156140118F5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E32CF-AC25-4466-A316-62A70619DB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0548AE-31D1-49C8-8F9A-AD767221AE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A1F33C-1726-43CE-90DB-677F8FC324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C70F1B-A37F-44A3-BAE9-143D8818FF6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0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F4DCFE-D599-4042-8F60-769BBCEE3E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D7FE96-2A42-4C34-A57D-C84CBE7860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77BAC4-4019-448A-8152-06E507DE1B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610E4E-7D99-44A7-994D-E43860AF04B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1C0D3A-77BA-45C8-A01B-333B9FD2797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3E707A-AC30-44F5-89E5-D09775F1FA8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4A614B-A7BE-4DD6-8D10-62CCA00A413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0E4AB8-FBC9-4BD7-8BEC-590E0C08F45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0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D88BD1-CD62-486D-9B46-CCAABF7741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0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1DBAE5-D350-4082-984C-51BB1EED26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0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6A12D2-BE70-4D6A-A40E-9D53F4A77D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0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CB7B04-426E-467C-AA4F-7E1FFC6EC3A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0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892FC7-F3C0-4EF7-AAC0-33CF64E074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0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DC95C8-F93C-441F-9E43-16C0A0E8FE0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0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453F53-456A-4B86-80C0-69C3ED5BCD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0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3587F3-94EE-49CB-8C82-BB763ED2386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88CC13-3C17-4D9B-A0C7-CEF9175937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FC56A5-4082-4DFE-B977-120C5FDA34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0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F5BCA0-072C-4CBD-9B3B-BA49AE880E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BAED5D-E526-430B-A5B4-0204D74895D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A7D19E-6D32-43EA-B7DA-9A1FE78694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32F7FF-61D9-4377-8A2A-E2FB916BE8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1AAC23-1E00-4EDC-B7F4-1020C77130F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8906C3-0852-4330-8C09-217BF5CE53E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06CB2-F13C-4E27-9CC5-3B1375CC05A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875715-B71A-4ACD-9CA1-2A71837BC81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D9D240-4DB8-4E69-B601-933EED9C5B9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272DDC-1338-4993-B437-38641F0B9C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1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B02FF-6F80-4D56-AA15-32A45098CA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860414-8BF2-46A7-820E-16E98E6826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7AD5F3-C021-428B-8968-28169C0471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1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278F60-CFC1-48EE-9C7D-497D222999A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969CE-A431-4CE4-B123-DABD5D1DB3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810CA-84E0-4D11-B6B2-96810BF40CB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1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D765FD-2D92-486A-A842-54ECD48F99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1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B520CB-4751-490B-98FA-6BFBD81D58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1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7431E-F2E6-4935-830D-C8C7EEBC38C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1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7B7428-2E9D-4B48-A6EC-8DCC1E62EE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1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9A59B8-803B-4FEE-B455-11A894E968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1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E2C0E4-B4CB-4109-9254-8D806013082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1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2AFA71-999D-40FB-BF30-5780521AF00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C865F6-41EE-465F-A229-C90B46A8F5F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ED975-E98A-4104-8DB2-08E8968530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203F3-D2D0-4DF2-8A49-3CFEACA4F52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CC70D5-57BD-487F-8EC1-815F3D99329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A6BBFF-7283-46AC-B0DD-A3D4BF7600D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BCC190-E876-4A89-8753-A7F3EA7A95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AEAAB6-92C5-45D8-BA76-A3A4DAC660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292474-C5B6-425F-8BFC-CE79D8407D4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1E7EEB-EFC8-4945-8A9B-F6DDC1C509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1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65623-A191-446F-8267-5942442942A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8273-F777-4DD3-A78F-75083514DB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315991-C77D-4C5D-A8DF-A5A340203AB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1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E3501E-73CA-405F-A90A-ECA05D3154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F0D1BA-D2C3-4F42-8355-180E49D1C7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CB1AB0-591B-4D49-8DC2-69F06B65512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1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5F74E8-42B9-4615-8A64-4F3AE8081C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C5BF6F-0E1B-44C4-81AC-BDB46122093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3380A0-CA27-4ED0-81B6-A392BBE170F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1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348D81-9889-4DC6-B1A6-6F68C8B8ED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1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6E582F-B4C5-4380-891F-1C171E4CF7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1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6EE590-A58A-4D6C-949F-7A2E69DE68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1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3FA4F0-5728-4B38-9E9B-59570B45CF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1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E37AAB-0895-4D03-BBAB-53E45BD1B0B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1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A1E523-C1E7-4C59-9DB8-C55478F4A9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1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33A59D-2FFC-43F8-B47D-AE5BCA27F0A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36CFB4-1D10-4FA0-8348-F34846BF026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2A0A50-AB1E-420B-A6AA-727CF4E6D59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F77A98-B2C6-42EC-8A0B-D7E06A7FC2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5434E1-FE28-422B-A6BA-B3247431B8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952989-62D1-4C4B-B710-4B72A814D4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FFDCA1-6CDE-419A-ACC4-372F9BE23A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12A2C3-ADC3-45FE-AC52-D655CFEBF7F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BB780F-5A2C-4C61-BAF8-A0C7F25D7CD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8F78D3-8E3F-42A8-91C1-A0EBC67BB6E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F449AA-4C38-4303-B587-9D6D5D7D7A4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2AEDC7-DE64-4A38-8FB0-EBD9ECF7FFC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184ED4-9300-407F-B556-AB9D71AF2A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1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15B1C3-354C-46B8-B5C4-80E040F3E41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7C2818-5222-4F85-9E8F-A7C60B17363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B17073-E9E7-4862-8583-AA1F34029B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1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3B50D5-4DF8-4F98-A280-86DF46278F4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F1955-1379-4369-B0AF-A0F580027F0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1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25E0EA-69AE-4D6F-837D-599DC00D2A3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1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3CFE94-FC62-4BE5-AB40-B799214FB6B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1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BB0B0-33F8-4D2A-BF5E-9A7264F87F2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1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FE476A-47DD-4EF8-9469-4BF37F4F4AE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1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7F93AC-D993-4E41-BE23-7683A695CA4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1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CA323A-89F5-4821-8081-986128259DE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1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AA8505-5FF2-4E95-8931-E03BB74A791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1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3D86EB-A2BC-4902-A700-34C565CB56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DD1AC-697E-4BB2-B2CC-4090A31FD6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2731B6-9B0B-41D7-B8A7-5BAD98EA912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A17AD6-E182-409D-B7C5-1212E0E019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D67CC-65F1-4823-8FFE-DCCCEDC798A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08316D-A884-46F9-A7E7-F734013A9F8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B8BB4D-8E25-4496-88A8-B373DFB981F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A74F5A-610A-4F28-B40B-116AADC9276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1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AC2BC9-E433-49B6-89D1-128F4AD114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62713-01D9-487D-A337-24C325A2AA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1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550C2D-2A02-4F3D-8590-6CA99F1E524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8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C5185A-16DF-46AB-B333-8F0EC65494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8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DBBD06-D1C6-461F-A9AE-CB0021815C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1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7AAE6-EC2B-4525-83C3-BEEADFC895D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8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4D4AB0-333A-4718-A2E4-C32754DF5E6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93F277-CDCD-4078-8DB1-B8F57373229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1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0BAB3-82EC-458A-9664-5498367120E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7691A8-01DE-48B3-8D31-610462B0CC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18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E2F088-127F-4C0F-A8BA-69FCC2E9B4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1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605DD0-A3FF-4054-9E6B-DE356EC506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1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5C20-FE85-46EE-8E26-95A48E4664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1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1C6B81-B565-401B-AA3B-3651769461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1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B93D49-9B75-4111-9140-06DBBB08A7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19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E63D5-2532-4AEC-B7ED-F802033D793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1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13DD32-0664-486D-A70F-139E9B34B64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1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BEE27C-5E89-45C1-9240-2C74A2C2AD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C705D-221D-4DCB-A35F-2745BD620DC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546E1-40B0-4566-BA4A-2B3A26F690E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1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EF3678-59B0-44ED-BC04-5D8DD99AE6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1DA00A-DA55-4BB7-9798-18D81D7E5EF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A7B3EA-E2E9-4E3A-A27C-EFF7DBE78B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0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8E8E87-AA58-4A3A-957D-986192E39D1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8A2F8F-B23C-4E2B-8F33-E574F38CCD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96D7FE-B229-4928-9658-E93D9AEE1C2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2A2070-BCAC-427C-B50E-DD91D80A01A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CB4959-C379-43A0-9343-BB3B7C7984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20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BD0FE3-F2DF-4567-A265-2C2FF39C5C2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2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43436B-6462-489D-AA61-9F846E126B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2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3CB663-138D-4E6C-96BE-B5B6CDEE51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2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370D80-141A-44C0-AC3F-1AB00674ECE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2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483B68-14EF-46C3-8F22-0EAE9BA443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2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0443CF-C0E9-4E8E-8329-2BC4641C12B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2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644183-B5A2-4233-B352-0734B2B4240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3085"/>
    <xdr:sp macro="" textlink="">
      <xdr:nvSpPr>
        <xdr:cNvPr id="52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387F29-0A20-40E5-B946-33999D4BF4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818"/>
    <xdr:sp macro="" textlink="">
      <xdr:nvSpPr>
        <xdr:cNvPr id="52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D25D2-AD79-4293-A4A9-7D846852366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21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C72294-7A8C-4944-B799-487AA282613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1"/>
    <xdr:sp macro="" textlink="">
      <xdr:nvSpPr>
        <xdr:cNvPr id="52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D653FC-D681-4068-9AF8-9A6CBE094E2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7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2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36D1F4-DCD1-4691-8287-57101EDE1E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232"/>
    <xdr:sp macro="" textlink="">
      <xdr:nvSpPr>
        <xdr:cNvPr id="52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30865C-A96B-4737-B599-F3AAC02EB6C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0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2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EF21FE-7B33-4DDC-8043-0834513C0C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31"/>
    <xdr:sp macro="" textlink="">
      <xdr:nvSpPr>
        <xdr:cNvPr id="52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767764-9D88-41AE-87D7-286CDE5AB54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8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5723F7-93B3-4A69-88EE-E4265E678D5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EB24EB-4314-4E3C-8563-1F2F70E7A2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B6BC04-8604-4D3C-8554-AEFFDC4D5D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4F91CE-0451-4780-B87B-8A4EE7ABEDC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5160DD-3EFF-43FF-B5C8-A549137B34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D21B34-A863-4D81-8D5F-7846585F0BB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A869E1-0D7B-4C45-801E-0FE82615548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542"/>
    <xdr:sp macro="" textlink="">
      <xdr:nvSpPr>
        <xdr:cNvPr id="52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95225-8066-466D-B966-9DE1F5A71A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14F61B-AB75-4113-AEB9-7999B293198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355"/>
    <xdr:sp macro="" textlink="">
      <xdr:nvSpPr>
        <xdr:cNvPr id="52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D3FA14-E3F7-4881-9063-FD678068F8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B56557-0988-49AF-9C32-C4BBDEB5D9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F52715-13DF-468A-ACAC-9F8E13A6152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2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9E547-F88E-49BA-A3FB-98B4ACD3E3D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BC82C0-A07E-4CEE-80F6-45D05929523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851263-2100-4651-9A5D-25F6023CAD2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2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0A5313-3F11-4A5E-BC6C-C53B1A32A7A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0296C8-2770-4AD4-8E62-CF6EC0E4525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1D09E2-7C13-428D-A87A-878516A58D6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2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597432-CFB2-411D-A242-0226BBA4AB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24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F548B-C5AB-4CAA-91EB-1AF868A1B03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2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997695-924C-4B0A-B020-CC6A627A90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2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BC004-6031-4CC7-AE73-E8FBD439C0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2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8327B2-0EA2-43C3-A1DF-ECF94F9EF1F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2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0AE7C7-A8C1-4D54-AAA0-A6B25A4DCC8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2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1AFCB2-78E1-4186-9958-1660CB08D7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0DFC97-ABED-4E18-A41A-09556A7BE09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040645-1D8B-4A5C-900C-7996EDDC7F3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9836AF-1B33-453C-B3C9-69BC0060074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D370C9-8552-4281-B9C7-7BFF303692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390B21-C227-4FE6-A10E-6612EA6DE7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24FC90-807D-4F1B-9281-E03A951645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ECA980-669A-45C0-9637-B17A7FAC686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B33938-BD94-4812-9610-479FA3626E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ADBC54-F70D-421E-9576-5BDCD0A2E62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68F580-0F0F-4992-B1A9-67F48B5254A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524584-1B93-465B-BF9F-1602935822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A80A74-FBF3-4CA2-AB09-3F106F0486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2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B2609C-004D-4B53-8A56-BD10B8DA85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6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36F824-0FC4-4B0D-B291-4AA53F0B816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6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AC5928-D5A7-4CDC-8480-E3AC776DD0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2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7AA9D-0656-441D-B317-FF35705E425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6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B520BC-4821-40DA-B8AB-85CB001784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33F48A-C7BF-4CEB-8A44-0384ED8E65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2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B848A-2F1D-4F2F-AC1A-EE3C3CCEED2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26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50292F-E385-4E55-8F15-33BB3810AD8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2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D76B-F6BA-4223-BCDB-CC5C2861998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2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157058-A725-45B1-A814-8253B86556B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2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53C6C2-554A-40D2-8D43-F43EDE9CEA9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2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D1ED14-F15E-4D8C-ABD5-EE26607B831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2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517794-17D1-4B50-A6CE-A2BAB384C6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D8C711-825C-489F-A466-F9D9760F220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7D19D-2E62-457D-A920-C5EB0963C2C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111307-5FF6-4821-BADD-33E2ECEE2A4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449AFE-FB21-4127-9384-9E3751FF3F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27FF34-398D-4942-88D2-FE4C4CCB90D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DBA5FB-8D66-4038-B6C5-59E01372E1A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CE5ED1-51F3-40E6-AA11-88EB345B2C5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2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5C7F10-904F-496E-A3A2-6F5C86F6594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EC1412-C590-4F78-AFED-A34EBBDEEFB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2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D28ECE-D3A6-4365-A649-4C4C561B2F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2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1E36CE-50B0-405C-B5AC-B0737ADE48A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28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462B43-373E-4A8C-B3D3-8080BC6CDFB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2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E54B2-2966-487B-8E5E-6A7B511E51B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28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DD47AE-E152-4278-8944-D864CA8A4C8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14D86C-ACC9-4080-B294-A0F2D2B89A8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28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D6DE5-EC49-4DBA-87A9-1BEB239FAFE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8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102421-3C5C-4DE3-899F-184678F9716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2"/>
    <xdr:sp macro="" textlink="">
      <xdr:nvSpPr>
        <xdr:cNvPr id="52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5AF5B2-A057-4FEE-90F0-50D8652DC2A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B0D6C2-2D69-440E-BF61-F0B60A338D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29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534350-4C8F-423C-9B2C-D13D406CAB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BA77A-60A0-4B01-8429-878A8451326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2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E04D16-0D96-4A3C-93D2-88032D8661E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29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BE7A58-A43C-497D-BA99-511F42B0A2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2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628E71-FF95-481F-AEBF-41BF2FF52B7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29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C95832-D39B-4BDA-99C3-987E608900E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3C4ADF-50A4-43FB-BCF8-35A3A811ABC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29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8997C6-0283-4D03-A25A-02EA0709AB9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2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8471CD-0807-4D69-A8D9-8409226DDC4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2"/>
    <xdr:sp macro="" textlink="">
      <xdr:nvSpPr>
        <xdr:cNvPr id="53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329E05-1F5C-479C-9D4E-4169B0D5435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0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10539D-3EA2-45D6-B96A-9BAEFCA50E7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0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7CEE26-B83A-498F-BE59-01807ACB4ED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4635D1-BB88-4446-A2B0-4A0A9186F7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86E797-4D45-40F1-A2A2-C59D7795FE9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0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0049F7-206E-4C97-937B-5FF0006AAE3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A03684-4EE7-45EF-A8DC-EBCFBA48BED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0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1CB8C-B3AB-4607-A4E6-613ED426964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DCD90-A8C6-4F6B-943B-0C5F7520F8E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0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DCE042-2457-4B35-9D72-7E5707320C0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7F0C3F-9C32-4E91-9CAF-D173504A59C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2"/>
    <xdr:sp macro="" textlink="">
      <xdr:nvSpPr>
        <xdr:cNvPr id="53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40207A-F533-411A-B2C9-099AD5A3BA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88F818-791C-47A3-A9EE-364DF6AAC72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7F924C-55FA-4F9C-BF4B-99D4F6F500F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D3E2E2-0555-4CF9-817E-AADCACA0463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8"/>
    <xdr:sp macro="" textlink="">
      <xdr:nvSpPr>
        <xdr:cNvPr id="53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2026-37E5-4247-958D-4E93DDD200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5"/>
    <xdr:sp macro="" textlink="">
      <xdr:nvSpPr>
        <xdr:cNvPr id="531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8135B8-2CD8-4D4B-8E52-7AB1D051884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8"/>
    <xdr:sp macro="" textlink="">
      <xdr:nvSpPr>
        <xdr:cNvPr id="53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98905-98DC-43F3-BA39-8AF25079B17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5"/>
    <xdr:sp macro="" textlink="">
      <xdr:nvSpPr>
        <xdr:cNvPr id="53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187190-E4C0-4D16-A19F-36699DB348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B0830F-1A7C-4E87-86A3-96145E90A58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2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C4D471-5748-4430-960F-558F8B3648C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BF42F-DA14-4F45-BD37-91B9AA4A7FD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3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F371FC-92FA-4BBA-AEC8-510BADF8AE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F689DF-F81A-4203-A921-42318DA9DC1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110F34-69A9-49BD-938D-BD867F0561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B8F2AA-F420-4268-92AB-F281A8D1071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8"/>
    <xdr:sp macro="" textlink="">
      <xdr:nvSpPr>
        <xdr:cNvPr id="53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61EADA-D7BB-47EB-91AD-2CC10DCC9CD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7"/>
    <xdr:sp macro="" textlink="">
      <xdr:nvSpPr>
        <xdr:cNvPr id="532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BC5C90-A8C7-419C-A2F4-E33E5B8A682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8"/>
    <xdr:sp macro="" textlink="">
      <xdr:nvSpPr>
        <xdr:cNvPr id="532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85760D-4D0F-4C41-B6C8-9D2F66F67114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7"/>
    <xdr:sp macro="" textlink="">
      <xdr:nvSpPr>
        <xdr:cNvPr id="532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9E615A-138D-41A6-BFB3-9736AFD9C94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5B2738-96DE-49ED-B438-7F70E4E7BF2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3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91B3D4-9E73-4CD3-8ED9-D4D2C5600D0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3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C5EB31-1460-4AE2-A113-5E0930F715A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3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DDBFBC-601E-4243-8666-70F6A02D560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3498A0-80AE-4DDD-A82D-FA889B2B15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3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EDAB07-D2A4-4F29-A14B-7DCFC984587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A3AD6-36F7-49E9-A2E6-454A35AF32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9C13C6-0342-4AB8-AC08-AA3D17026DF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3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82B478-8F87-491B-9A82-2E584401E12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9611AE-B60B-4709-8F96-C402DDF084A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4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5271FC-BDBD-4157-A130-CCF03B0FE61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B80BB8-24E1-4495-9329-176B8C685A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4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61FC9F-6B15-45B5-9390-5833E592D68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566345-0B90-475B-8C93-C9A10DF0FA4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2"/>
    <xdr:sp macro="" textlink="">
      <xdr:nvSpPr>
        <xdr:cNvPr id="53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75B57-A217-43AC-B670-A5F8D35EB49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6332EF-3CDF-4474-93E0-1CFBBDEB83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4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773FD6-219C-43E2-B5D0-CEE3C7B6D18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4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B98476-D4B8-458A-85B2-E17391054A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579702-67EF-47C9-8373-E7CA693BB4D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4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8D5DC0-E530-4F83-8579-3D1E3F98A47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DB90D7-ACE6-470F-9D9A-A1F5CD7421E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97BE6C-24ED-4795-AC3A-3EAF468B9E4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5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283863-5BAB-49B6-B544-B7A4894665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5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8EC951-DE9E-4885-8B00-AC71F3FC5DB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30CDC5-D5F2-43CC-9E08-562EB41BD00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2"/>
    <xdr:sp macro="" textlink="">
      <xdr:nvSpPr>
        <xdr:cNvPr id="53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898DAB-4213-447A-A08D-08413CCE457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37AFC-8CD2-4AC3-AA33-33207061C5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5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DE3523-9267-477E-8844-2D32AD35B62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5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698D-929F-4F4B-B7A5-2CE1D90962E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57BE-972C-4127-95A8-B28B133C02F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6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F5A47-C5F3-476F-AE2E-840F615AE78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92"/>
    <xdr:sp macro="" textlink="">
      <xdr:nvSpPr>
        <xdr:cNvPr id="53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5EB32A-CDAD-4084-AB4B-F2091173399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289"/>
    <xdr:sp macro="" textlink="">
      <xdr:nvSpPr>
        <xdr:cNvPr id="536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B5FA6-0BF4-4C0A-A380-2265EA3B36C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2631B8-2D82-4D47-856F-C252397F27C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63AF88-4BAF-4190-958A-A6815DE853C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BF06BA-20EB-4F85-BA59-F55A7B435B1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2"/>
    <xdr:sp macro="" textlink="">
      <xdr:nvSpPr>
        <xdr:cNvPr id="53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BEACD3-0CF3-4F61-8C98-65F62AEB96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6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93ACB4-561C-4D6B-8FCE-D43BAEC36ED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08"/>
    <xdr:sp macro="" textlink="">
      <xdr:nvSpPr>
        <xdr:cNvPr id="536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F1929-7116-4F18-80C6-AC3A839B6CA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6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D38F8-E778-4349-9CF9-2F361217477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8"/>
    <xdr:sp macro="" textlink="">
      <xdr:nvSpPr>
        <xdr:cNvPr id="53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4D50DA-01B8-44D9-9897-1228D95401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5"/>
    <xdr:sp macro="" textlink="">
      <xdr:nvSpPr>
        <xdr:cNvPr id="53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3A5C4C-D56C-44D1-9FA0-96A0A8120E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8"/>
    <xdr:sp macro="" textlink="">
      <xdr:nvSpPr>
        <xdr:cNvPr id="53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B5012E-69BE-49C6-9216-8CAD221E2F3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195"/>
    <xdr:sp macro="" textlink="">
      <xdr:nvSpPr>
        <xdr:cNvPr id="537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783CB2-08C7-4F63-B426-C5D9E4B4BFD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7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72B1A9-D038-492E-A308-C6068C400C0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7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D7FC81-1312-46C1-81D6-A2AD94EA28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394769-5538-41E8-9776-3FF62CF8E4D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3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B73E78-0319-4613-8704-B56796B3AAF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72F59A-C5D6-4B8A-A6C8-BED0D05D57D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7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2BF409-D1A0-4BD2-8463-E18AF6ECE2A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8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1169EA-4374-4609-9CB0-E67AF27BCCB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8"/>
    <xdr:sp macro="" textlink="">
      <xdr:nvSpPr>
        <xdr:cNvPr id="53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1FE3F-E994-47EE-A14C-78FBE4366E8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7"/>
    <xdr:sp macro="" textlink="">
      <xdr:nvSpPr>
        <xdr:cNvPr id="538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046C29-31DA-4C5B-8126-6217389753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8"/>
    <xdr:sp macro="" textlink="">
      <xdr:nvSpPr>
        <xdr:cNvPr id="53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FBBCCC-6265-4350-BAB5-5EFEE1D6FC7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1437"/>
    <xdr:sp macro="" textlink="">
      <xdr:nvSpPr>
        <xdr:cNvPr id="538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24B04-1D3F-4C87-ADAD-6BFD6B30E6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313943-0FA9-4ADD-9BE3-51776DE0E6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8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ADD32-A43C-4EA5-8FA9-B251F6FEDB5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8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DF5204-17B8-41D4-A382-AA201CA2A0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3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558223-B509-4A44-A37D-7DD4E102E5B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CCD14-409E-4B92-8152-7E92E8E160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4"/>
    <xdr:sp macro="" textlink="">
      <xdr:nvSpPr>
        <xdr:cNvPr id="539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E65DD1-4033-444C-AAC6-8249B3230D5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7"/>
    <xdr:sp macro="" textlink="">
      <xdr:nvSpPr>
        <xdr:cNvPr id="539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04445B-BDF8-4F42-B68B-269A025E37A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E5DF53-1069-4793-BA89-4480BCB4D80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369C79-1FC7-48B2-92C6-3C5562BF477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3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BE0E8E-DED0-40C4-9E74-7EB56DDBACB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C2163D-C273-4885-B00E-9945295426C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A4B297-8A05-46DB-AB9D-1ED1B4A0683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3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47D693-481A-4633-BF4A-22271285884C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4954A2-E71C-4065-9499-2ACE949C4C9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3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D08B71-96FD-44EC-9114-88309ABDB2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4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FAFC1E-E491-4818-8DC3-B168B8D99012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4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3D51AD-CE4F-4175-A2C1-1CD4534852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4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47C334-AA2E-4237-B08C-5A342A1624A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4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433611-B4C6-4618-B7CE-1AC9AE4F4DC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4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8C4E4-E188-4B9A-919C-55370A1D8B0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4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C7DF46-209D-45AA-8876-4A513A91E8C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4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AAE9D0-F35C-4107-9330-587F3FA6160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F72BED-353F-4979-A601-B2C71D690153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0DFE7-7016-448D-8324-DFB7FF9D27E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182561-ADA2-46C9-B8DC-37430E537D3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35D75E-7FEB-4EC7-8019-4543830939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51EC43-799E-4194-A5E9-6F3965F63BC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F3CAE8-4BA4-43F9-9226-B46D3930C5D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331909-45F9-43CE-A187-DDAA66736E8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0D4532-FC74-4349-8D42-8EA7092A41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CBAF4-5565-4A76-BD7C-F2DC9B5ECC9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A8AA02-A176-4E74-9D3A-DCE071D5E83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4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09AEA-A8FF-4F12-B16E-FF29CA2622DB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4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A49DC-1343-46C1-8E7E-532CBC10E2F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4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4349-7FB8-4298-B18A-949B7B82E8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4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8B1493-1720-4EA8-A552-E99D3DA7ADFF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4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17E2C5-9531-4918-9D4F-CAED9B38D4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4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4187CB-9B22-4457-BDF4-24D2A1B5508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4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5D876E-83E2-4DB3-8205-4C5255E4DCD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2610"/>
    <xdr:sp macro="" textlink="">
      <xdr:nvSpPr>
        <xdr:cNvPr id="54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8B7423-9977-4352-8D09-075B30DA452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4343"/>
    <xdr:sp macro="" textlink="">
      <xdr:nvSpPr>
        <xdr:cNvPr id="54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2A9F7A-221C-489E-86FF-05996293596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4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2DBC84-532F-4B24-9F4F-CDBEEE270A36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6"/>
    <xdr:sp macro="" textlink="">
      <xdr:nvSpPr>
        <xdr:cNvPr id="54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2B16DB-09C9-4703-9ABA-1012D8AFB050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7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4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B15A6-287D-4798-B081-FE20566B81B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757"/>
    <xdr:sp macro="" textlink="">
      <xdr:nvSpPr>
        <xdr:cNvPr id="54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179FA6-AE70-4263-9ED9-15EE4351FDC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4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02D428-1EDF-4338-8D0E-3AC055CA81E7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4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CE86B-8F69-47D8-8572-48D63914495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3576D5-1614-4852-A4DC-71DE1FE3C2A1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C258C-6B22-4332-8B43-6CFE0656106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ADF8A4-46AC-4776-B8E9-81CCF871F19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709695-B6D6-4057-9094-9FD31343DDE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2CDD43-8374-45C2-AB7D-A4E1C19D0B7D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A7F00D-0908-4EF5-B337-398E3272906E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7F65F1-0602-49E6-9F47-36450F5A93F9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11067"/>
    <xdr:sp macro="" textlink="">
      <xdr:nvSpPr>
        <xdr:cNvPr id="54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3FB2D5-7C4E-4058-9054-A9ADA2D9AC2A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1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F4F0C7-8E0E-4095-A418-6F3A3FB91378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880"/>
    <xdr:sp macro="" textlink="">
      <xdr:nvSpPr>
        <xdr:cNvPr id="54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AB28-D8E6-4DB2-B256-9A066D59A155}"/>
            </a:ext>
          </a:extLst>
        </xdr:cNvPr>
        <xdr:cNvSpPr>
          <a:spLocks noChangeAspect="1" noChangeArrowheads="1"/>
        </xdr:cNvSpPr>
      </xdr:nvSpPr>
      <xdr:spPr bwMode="auto">
        <a:xfrm>
          <a:off x="13992225" y="164334825"/>
          <a:ext cx="304800" cy="3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C3B18F-64B2-48C9-92AD-ACE3EF22F7F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53AD78-4BD6-41BB-8783-C20B1E39C5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4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723059-05C2-42F5-B06F-9917A20B14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E578A4-0FAF-47A3-B8F7-4DAA3459B5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E3EA4D-1178-45D8-A0BC-E7077A430F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4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214F3-8A61-4599-B5B9-BFF8ED6755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6B5E34-06BF-4BD3-B654-BBBC196C96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B7CD71-703D-4D81-81E1-600373B2C6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4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8DE52-84A3-4E3E-BC6D-638D5CD24BD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4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882AEB-0888-445D-BE06-18E70909A91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4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A62FE1-C006-45F7-83BD-925CFDF907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4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11974D-41AF-4F85-A36A-F55F2F7B5EC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4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506016-B6EB-479D-AF6C-E498AECA14E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4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342254-007D-464C-AD54-B513401FD4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4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E6C498-A5B6-4FF8-B2F4-9E1341DA9C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033A1A-A6C5-4937-8FB3-A8E09450DCF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0DD2CF-1DFB-4900-90E4-83D439FFA4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F250ABA-FAB7-4A5B-B32F-CFD4BBE035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77B121-4338-4305-83B5-7A36D38CEB5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18AF6-BBA8-44EA-BE54-F87887649CE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89362F4-C115-419D-B07C-CC618908F2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1002F0-5689-40FD-A9EF-E6A844C683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911767D-7F9C-4EE3-B848-2FD8939A5F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BDF21B-FFE6-43EC-8D93-E2839C24910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984E38-18E5-4ECB-AEAB-66CDAED95BF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6BAFD6-A7ED-4B92-8E84-4FC9B5283A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F9CA7D-6C11-41F0-AC2D-9BFCA5E8DB4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4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E8C748D-5593-464B-925B-54E68CF29D7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C6DED0-45EF-490B-BFC7-FC2583BDCF7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DEDF0C-D20F-4F7F-AA6A-ACF19F204FD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4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A3278F-47D7-4780-AF3A-193F0C497E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52D7E0-B54D-4DC6-859D-219CBA05F8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4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26A91D-F546-4A15-8D1E-4803F98FC5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4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C0049E-CF82-4BA8-9EE3-EA580A74500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4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264BE0-7992-4F34-8E60-0E7D79BBD0F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4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EF5B8-542C-48BC-9EDA-D5CA0C4F07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4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15B852-C56A-42CD-AB1D-07499386246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4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B22B4B-25AF-4D5A-AE9C-B0A5A1AE9FD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4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34E3DAB-D529-4DDF-A326-0618A3FBBD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4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3F43-C8CF-4174-9E8F-5B75277BA1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3903AFF-5848-4F5D-A184-DD2A9884B7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7F9D6-CBB5-4FE2-A877-9BB2D98843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1BFD7C-F64D-43F8-80B0-94ED7930528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230574-A819-4AE8-A35D-52437C33EC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DE6541-18F9-4B3D-AAF3-699161603C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67AFBA-2053-4011-A41D-C8117412436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D8A430-C99B-43A5-BA45-44FC3743BD6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4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4C4DE3-E1FE-49F6-AD8B-96A4F5C79AB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B6C5F3-A0FA-449C-8281-28F08118835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4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19A31A-2A56-4F68-9A45-0041B4DA6B6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4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2C9966-8509-4462-AFAE-B5D9B7A7665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4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DB8C94-5B2E-4654-B0B3-C45DAA807E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4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39AF97-BE0C-4512-A56E-974B06E571A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4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55AB35-D14E-4BD1-91EC-DABC460828B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4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C60430-E868-4490-BFFB-C643384F05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4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B85116-733E-41E9-B241-A172569150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4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9CA70D-2917-495F-99D2-1223CB3708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4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68AF15-5969-4B91-B86F-1F18842D8A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5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66415E-8732-423B-A8E9-191B73365D7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5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C10301-2BC9-4B49-A3FE-C7E234AB05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5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4526F4-A631-4CAC-B2FE-1F3A84CFA47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5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61B979-47FE-4BFA-B670-9A2A9776D7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5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44D383-384C-4A17-8706-765526C55F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5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FE9ED-DAE3-47A2-8B2C-51C0ECBDEA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5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F35838-287D-45A3-AADB-CAC5223EE7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E127B1-0D18-4C5C-8615-7E97FD25D7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BDA49C-A4AF-4065-A4B5-664CD804E4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704EB1-910F-4210-8442-D7D660DC33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AF1EFF-BE21-425F-BA21-5F638E7E50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3EF2CE-5F76-4FF6-9BDD-B53E4AFD8D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41DF4C-0ACF-4028-AE8D-83304B6BD1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F38467-E07E-43FE-B6F7-3AF8F7123A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859758-BBEC-414A-B7F1-97290D1FB2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102B14-3CCE-4878-B2F0-ED947A6459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534A7-A1D2-4A5E-AF95-401BC3F447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5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D33FF-C914-4A35-B510-9DBB80AF651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5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5917BE-928D-49B3-92BC-241710C911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5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B6FEC4-1FCB-4923-B706-D482C0EE251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5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2BF0F9-18FF-4F23-AAD1-B3318DD9005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5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BE939-62C9-40D1-B151-ABB9FF1CD6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5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957AFD-34A6-4ABC-A7BF-E46B00CCE2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5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0C746B-FEA9-458A-8BE0-042D9F5EED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5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77DBB3-C852-4277-A072-581FE433B00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5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34A9CB-85CF-4161-A823-78516A6B04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5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1194A9-05EC-4373-BDBC-415052731A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5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78378E-14FA-4F7C-91DC-B9E92C179AB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5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5F813D-AE7D-4439-9BD2-E1E92E43E0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5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60CD5E-C531-45BE-BD66-4CD3534A83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5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D800F9-DC74-4F9B-AEE2-E1C86E8E8F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5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1731E2C-0DF3-46D2-A5E1-8F58590A58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A31202-9EE3-4CDC-AC27-E150AC9C62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104F0D-7077-4245-AF1D-FD85BC36847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168DA-1732-4F9D-AB59-094BFF36596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D08565-6369-4DD4-86FA-E4789D8072F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3358E1-5CA6-4054-9ACD-86DF4297A5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DB1323-5E03-44E8-9644-FEBD34CED41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26FC340-D632-40F4-B045-0A89B584C53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5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772F43-F98F-4A7A-8530-46B6D87952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DD268B-3B0B-4B39-A7D6-5BCA8ABC73F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5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DFA18F-FEB7-48D6-9F73-52F0775F69B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497F58-8FFF-4B60-AB72-3E4D5DC2388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5C8A1F-EF5A-4AF7-B0B2-3496666ED4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FFBAF6-C9BF-458B-94B9-A9DE8AD2BF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1D4AFE-3F6A-4208-BDA0-A5C8C9D894D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837036-3C18-4B3A-8020-95A5CC6842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4B01E-1933-4494-82D7-085E27586D6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DB084B-DA2B-49A9-8DE6-964BA50120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E8959C-A079-4B18-A90A-C80C5ABC0F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E918A9-42DB-48C4-870F-C9E4099646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5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F2312-359A-4049-AE5F-D3087356B7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5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F21804-20F4-475A-AE7D-9CCC33E097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5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8EB0B9-697D-4958-9CC3-E514485FC9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5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4C3929B-3181-4599-8D03-9D0E7670B89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5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F9E379-45FD-4C66-B7C6-1241E395A9A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5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41287B-149F-4428-92D1-EDA4258C98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1233C-062F-4A75-8C96-002320CA4C4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5F8E99-56A5-42DE-A98E-F8A506A117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1C9B2B-E0CF-44C6-B6AF-5A226BFF14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5CBAEB-6AB3-40E3-9796-BE1C60BFE9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7A7D30-6715-4DED-AC01-B385F853A3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B23A78-A1D6-44D1-826A-B9518F31AD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A6DD4C-2273-43C7-8FBA-35EE6F9D3F6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96598D-EDBD-4229-8C4A-703CBBD09A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72B0E5-4025-4977-9508-6E3F0C5338A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7243FB-192F-478C-8B21-AA1CF913C0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FD8AFE-001A-4731-B558-5944413715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DFDEF6-9128-4123-9BA8-67D04459A0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195042D-1DE3-4C6A-B570-2BDBB8DC76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B21012-483A-41E6-A27F-9743F6DA26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58A9BE0-C5AF-4FA5-816F-B6416DB0917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0384A6-275C-41B5-A3EB-77071DB5568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0F4DF3-6303-4E1F-81E2-F5A46A6D5DC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A8A241-093C-42F6-8C74-B88E876776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F5AF58-FB22-44C1-8CAA-D6C33EA267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5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E5CBE8-C9A7-4D44-BCDB-2C8BD71E69D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5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8F4C24-0767-46E4-8032-A3A3B59DC78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5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56B8CB-8A7A-47C2-96C5-7FECAF7381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5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E52457-CC0F-4454-AD2A-ECBA03F4863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5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0BC590-E3CD-4E5F-BAE6-A0BC27DFFE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5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60D072-AB66-4EA4-A4C6-35C9F3509D2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86AB90-228B-47FE-A0A7-FD582127E2F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AE1FF8-9B0A-40AB-8096-1FC1F2D813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99358B-D6B0-4DBD-964A-3491980F355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A17A35-30AB-4B72-AEF4-E65FDB20BA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762B409-49B3-4D32-8A4F-156140118F5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E32CF-AC25-4466-A316-62A70619DB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0548AE-31D1-49C8-8F9A-AD767221AE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5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A1F33C-1726-43CE-90DB-677F8FC324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C70F1B-A37F-44A3-BAE9-143D8818FF6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5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F4DCFE-D599-4042-8F60-769BBCEE3E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D7FE96-2A42-4C34-A57D-C84CBE7860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77BAC4-4019-448A-8152-06E507DE1B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610E4E-7D99-44A7-994D-E43860AF04B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1C0D3A-77BA-45C8-A01B-333B9FD2797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3E707A-AC30-44F5-89E5-D09775F1FA8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5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4A614B-A7BE-4DD6-8D10-62CCA00A413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0E4AB8-FBC9-4BD7-8BEC-590E0C08F45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5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D88BD1-CD62-486D-9B46-CCAABF7741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6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01DBAE5-D350-4082-984C-51BB1EED26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6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6A12D2-BE70-4D6A-A40E-9D53F4A77D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6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CB7B04-426E-467C-AA4F-7E1FFC6EC3A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6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892FC7-F3C0-4EF7-AAC0-33CF64E074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6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DC95C8-F93C-441F-9E43-16C0A0E8FE0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6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453F53-456A-4B86-80C0-69C3ED5BCD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6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3587F3-94EE-49CB-8C82-BB763ED2386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88CC13-3C17-4D9B-A0C7-CEF9175937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8FC56A5-4082-4DFE-B977-120C5FDA34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F5BCA0-072C-4CBD-9B3B-BA49AE880E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BAED5D-E526-430B-A5B4-0204D74895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A7D19E-6D32-43EA-B7DA-9A1FE78694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32F7FF-61D9-4377-8A2A-E2FB916BE8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1AAC23-1E00-4EDC-B7F4-1020C77130F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8906C3-0852-4330-8C09-217BF5CE53E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206CB2-F13C-4E27-9CC5-3B1375CC05A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875715-B71A-4ACD-9CA1-2A71837BC81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D9D240-4DB8-4E69-B601-933EED9C5B9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272DDC-1338-4993-B437-38641F0B9C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6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B02FF-6F80-4D56-AA15-32A45098CA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860414-8BF2-46A7-820E-16E98E6826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B7AD5F3-C021-428B-8968-28169C0471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6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4278F60-CFC1-48EE-9C7D-497D222999A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969CE-A431-4CE4-B123-DABD5D1DB3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810CA-84E0-4D11-B6B2-96810BF40CB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6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D765FD-2D92-486A-A842-54ECD48F99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6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B520CB-4751-490B-98FA-6BFBD81D58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6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77431E-F2E6-4935-830D-C8C7EEBC38C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6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7B7428-2E9D-4B48-A6EC-8DCC1E62EE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6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9A59B8-803B-4FEE-B455-11A894E968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6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E2C0E4-B4CB-4109-9254-8D806013082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6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2AFA71-999D-40FB-BF30-5780521AF00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C865F6-41EE-465F-A229-C90B46A8F5F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ED975-E98A-4104-8DB2-08E8968530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203F3-D2D0-4DF2-8A49-3CFEACA4F52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CC70D5-57BD-487F-8EC1-815F3D99329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A6BBFF-7283-46AC-B0DD-A3D4BF7600D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BCC190-E876-4A89-8753-A7F3EA7A95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AEAAB6-92C5-45D8-BA76-A3A4DAC660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6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A292474-C5B6-425F-8BFC-CE79D8407D4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1E7EEB-EFC8-4945-8A9B-F6DDC1C509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6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65623-A191-446F-8267-5942442942A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1D8273-F777-4DD3-A78F-75083514DB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315991-C77D-4C5D-A8DF-A5A340203AB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6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8E3501E-73CA-405F-A90A-ECA05D3154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F0D1BA-D2C3-4F42-8355-180E49D1C7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FCB1AB0-591B-4D49-8DC2-69F06B65512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6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5F74E8-42B9-4615-8A64-4F3AE8081C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C5BF6F-0E1B-44C4-81AC-BDB46122093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3380A0-CA27-4ED0-81B6-A392BBE170F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6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348D81-9889-4DC6-B1A6-6F68C8B8ED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6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6E582F-B4C5-4380-891F-1C171E4CF7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6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6EE590-A58A-4D6C-949F-7A2E69DE68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6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3FA4F0-5728-4B38-9E9B-59570B45CF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6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E37AAB-0895-4D03-BBAB-53E45BD1B0B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6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CA1E523-C1E7-4C59-9DB8-C55478F4A9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6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733A59D-2FFC-43F8-B47D-AE5BCA27F0A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36CFB4-1D10-4FA0-8348-F34846BF026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2A0A50-AB1E-420B-A6AA-727CF4E6D59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7F77A98-B2C6-42EC-8A0B-D7E06A7FC2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5434E1-FE28-422B-A6BA-B3247431B8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952989-62D1-4C4B-B710-4B72A814D4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FFDCA1-6CDE-419A-ACC4-372F9BE23A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12A2C3-ADC3-45FE-AC52-D655CFEBF7F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BB780F-5A2C-4C61-BAF8-A0C7F25D7CD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8F78D3-8E3F-42A8-91C1-A0EBC67BB6E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4F449AA-4C38-4303-B587-9D6D5D7D7A4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42AEDC7-DE64-4A38-8FB0-EBD9ECF7FFC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184ED4-9300-407F-B556-AB9D71AF2A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6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15B1C3-354C-46B8-B5C4-80E040F3E41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7C2818-5222-4F85-9E8F-A7C60B17363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B17073-E9E7-4862-8583-AA1F34029B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6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3B50D5-4DF8-4F98-A280-86DF46278F4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1F1955-1379-4369-B0AF-A0F580027F0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6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25E0EA-69AE-4D6F-837D-599DC00D2A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6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3CFE94-FC62-4BE5-AB40-B799214FB6B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6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ABB0B0-33F8-4D2A-BF5E-9A7264F87F2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6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0FE476A-47DD-4EF8-9469-4BF37F4F4AE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6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7F93AC-D993-4E41-BE23-7683A695CA4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6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CA323A-89F5-4821-8081-986128259DE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6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8AA8505-5FF2-4E95-8931-E03BB74A791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6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3D86EB-A2BC-4902-A700-34C565CB56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DD1AC-697E-4BB2-B2CC-4090A31FD6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2731B6-9B0B-41D7-B8A7-5BAD98EA91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A17AD6-E182-409D-B7C5-1212E0E019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4D67CC-65F1-4823-8FFE-DCCCEDC798A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08316D-A884-46F9-A7E7-F734013A9F8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B8BB4D-8E25-4496-88A8-B373DFB981F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A74F5A-610A-4F28-B40B-116AADC9276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6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AC2BC9-E433-49B6-89D1-128F4AD114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762713-01D9-487D-A337-24C325A2AA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6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E550C2D-2A02-4F3D-8590-6CA99F1E524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9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0C5185A-16DF-46AB-B333-8F0EC65494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9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0DBBD06-D1C6-461F-A9AE-CB0021815C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6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A7AAE6-EC2B-4525-83C3-BEEADFC895D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9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24D4AB0-333A-4718-A2E4-C32754DF5E6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9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93F277-CDCD-4078-8DB1-B8F57373229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69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50BAB3-82EC-458A-9664-5498367120E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7691A8-01DE-48B3-8D31-610462B0CC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69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E2F088-127F-4C0F-A8BA-69FCC2E9B4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7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605DD0-A3FF-4054-9E6B-DE356EC506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7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C85C20-FE85-46EE-8E26-95A48E4664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7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1C6B81-B565-401B-AA3B-3651769461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7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B93D49-9B75-4111-9140-06DBBB08A7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70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6E63D5-2532-4AEC-B7ED-F802033D793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7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13DD32-0664-486D-A70F-139E9B34B64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70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BEE27C-5E89-45C1-9240-2C74A2C2AD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9C705D-221D-4DCB-A35F-2745BD620DC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0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C546E1-40B0-4566-BA4A-2B3A26F690E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0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EF3678-59B0-44ED-BC04-5D8DD99AE6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1DA00A-DA55-4BB7-9798-18D81D7E5EF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A7B3EA-E2E9-4E3A-A27C-EFF7DBE78B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8E8E87-AA58-4A3A-957D-986192E39D1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1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8A2F8F-B23C-4E2B-8F33-E574F38CCD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96D7FE-B229-4928-9658-E93D9AEE1C2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2A2070-BCAC-427C-B50E-DD91D80A01A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CB4959-C379-43A0-9343-BB3B7C7984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71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BD0FE3-F2DF-4567-A265-2C2FF39C5C2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71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843436B-6462-489D-AA61-9F846E126B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7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93CB663-138D-4E6C-96BE-B5B6CDEE51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7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2370D80-141A-44C0-AC3F-1AB00674ECE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72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B483B68-14EF-46C3-8F22-0EAE9BA443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7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0443CF-C0E9-4E8E-8329-2BC4641C12B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72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A644183-B5A2-4233-B352-0734B2B4240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9723"/>
    <xdr:sp macro="" textlink="">
      <xdr:nvSpPr>
        <xdr:cNvPr id="57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387F29-0A20-40E5-B946-33999D4BF4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1456"/>
    <xdr:sp macro="" textlink="">
      <xdr:nvSpPr>
        <xdr:cNvPr id="57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8DD25D2-AD79-4293-A4A9-7D846852366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1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72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C72294-7A8C-4944-B799-487AA282613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4629"/>
    <xdr:sp macro="" textlink="">
      <xdr:nvSpPr>
        <xdr:cNvPr id="57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D653FC-D681-4068-9AF8-9A6CBE094E2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7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36D1F4-DCD1-4691-8287-57101EDE1E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6870"/>
    <xdr:sp macro="" textlink="">
      <xdr:nvSpPr>
        <xdr:cNvPr id="57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30865C-A96B-4737-B599-F3AAC02EB6C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7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EF21FE-7B33-4DDC-8043-0834513C0C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1269"/>
    <xdr:sp macro="" textlink="">
      <xdr:nvSpPr>
        <xdr:cNvPr id="57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767764-9D88-41AE-87D7-286CDE5AB54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5723F7-93B3-4A69-88EE-E4265E678D5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EB24EB-4314-4E3C-8563-1F2F70E7A2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3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B6BC04-8604-4D3C-8554-AEFFDC4D5D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4F91CE-0451-4780-B87B-8A4EE7ABEDC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15160DD-3EFF-43FF-B5C8-A549137B34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3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D21B34-A863-4D81-8D5F-7846585F0BB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A869E1-0D7B-4C45-801E-0FE82615548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180"/>
    <xdr:sp macro="" textlink="">
      <xdr:nvSpPr>
        <xdr:cNvPr id="573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A95225-8066-466D-B966-9DE1F5A71A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14F61B-AB75-4113-AEB9-7999B293198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87993"/>
    <xdr:sp macro="" textlink="">
      <xdr:nvSpPr>
        <xdr:cNvPr id="57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1D3FA14-E3F7-4881-9063-FD678068F8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8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B56557-0988-49AF-9C32-C4BBDEB5D9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4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F52715-13DF-468A-ACAC-9F8E13A6152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7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79E547-F88E-49BA-A3FB-98B4ACD3E3D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4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BC82C0-A07E-4CEE-80F6-45D05929523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851263-2100-4651-9A5D-25F6023CAD2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7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0A5313-3F11-4A5E-BC6C-C53B1A32A7A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4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0296C8-2770-4AD4-8E62-CF6EC0E4525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1D09E2-7C13-428D-A87A-878516A58D6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7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E597432-CFB2-411D-A242-0226BBA4AB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75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F548B-C5AB-4CAA-91EB-1AF868A1B03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7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997695-924C-4B0A-B020-CC6A627A90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7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EBC004-6031-4CC7-AE73-E8FBD439C0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75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8327B2-0EA2-43C3-A1DF-ECF94F9EF1F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7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0AE7C7-A8C1-4D54-AAA0-A6B25A4DCC8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7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1AFCB2-78E1-4186-9958-1660CB08D7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70DFC97-ABED-4E18-A41A-09556A7BE09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040645-1D8B-4A5C-900C-7996EDDC7F3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5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A9836AF-1B33-453C-B3C9-69BC0060074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D370C9-8552-4281-B9C7-7BFF303692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6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390B21-C227-4FE6-A10E-6612EA6DE7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D24FC90-807D-4F1B-9281-E03A951645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ECA980-669A-45C0-9637-B17A7FAC686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6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CB33938-BD94-4812-9610-479FA3626E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AADBC54-F70D-421E-9576-5BDCD0A2E62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68F580-0F0F-4992-B1A9-67F48B5254A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6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E524584-1B93-465B-BF9F-1602935822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A80A74-FBF3-4CA2-AB09-3F106F0486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7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4B2609C-004D-4B53-8A56-BD10B8DA85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7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A36F824-0FC4-4B0D-B291-4AA53F0B816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7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7AC5928-D5A7-4CDC-8480-E3AC776DD0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77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7AA9D-0656-441D-B317-FF35705E425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B520BC-4821-40DA-B8AB-85CB001784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A33F48A-C7BF-4CEB-8A44-0384ED8E65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7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2B848A-2F1D-4F2F-AC1A-EE3C3CCEED2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77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250292F-E385-4E55-8F15-33BB3810AD8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77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D76B-F6BA-4223-BCDB-CC5C2861998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77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157058-A725-45B1-A814-8253B86556B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7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53C6C2-554A-40D2-8D43-F43EDE9CEA9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7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D1ED14-F15E-4D8C-ABD5-EE26607B831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78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7517794-17D1-4B50-A6CE-A2BAB384C6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D8C711-825C-489F-A466-F9D9760F220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8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7D19D-2E62-457D-A920-C5EB0963C2C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111307-5FF6-4821-BADD-33E2ECEE2A4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8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449AFE-FB21-4127-9384-9E3751FF3F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8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527FF34-398D-4942-88D2-FE4C4CCB90D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FDBA5FB-8D66-4038-B6C5-59E01372E1A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CE5ED1-51F3-40E6-AA11-88EB345B2C5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78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75C7F10-904F-496E-A3A2-6F5C86F6594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9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EC1412-C590-4F78-AFED-A34EBBDEEFB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7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D28ECE-D3A6-4365-A649-4C4C561B2F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79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1E36CE-50B0-405C-B5AC-B0737ADE48A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79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462B43-373E-4A8C-B3D3-8080BC6CDFB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79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5E54B2-2966-487B-8E5E-6A7B511E51B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79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DD47AE-E152-4278-8944-D864CA8A4C8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9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C14D86C-ACC9-4080-B294-A0F2D2B89A8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79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59D6DE5-EC49-4DBA-87A9-1BEB239FAFE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79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102421-3C5C-4DE3-899F-184678F9716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50"/>
    <xdr:sp macro="" textlink="">
      <xdr:nvSpPr>
        <xdr:cNvPr id="57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B5AF5B2-A057-4FEE-90F0-50D8652DC2A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0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B0D6C2-2D69-440E-BF61-F0B60A338D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0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534350-4C8F-423C-9B2C-D13D406CAB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4CBA77A-60A0-4B01-8429-878A8451326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0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FE04D16-0D96-4A3C-93D2-88032D8661E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0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CBE7A58-A43C-497D-BA99-511F42B0A2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0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628E71-FF95-481F-AEBF-41BF2FF52B7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0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C95832-D39B-4BDA-99C3-987E608900E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3C4ADF-50A4-43FB-BCF8-35A3A811ABC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0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E8997C6-0283-4D03-A25A-02EA0709AB9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8471CD-0807-4D69-A8D9-8409226DDC4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50"/>
    <xdr:sp macro="" textlink="">
      <xdr:nvSpPr>
        <xdr:cNvPr id="58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329E05-1F5C-479C-9D4E-4169B0D5435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E10539D-3EA2-45D6-B96A-9BAEFCA50E7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1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7CEE26-B83A-498F-BE59-01807ACB4ED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F4635D1-BB88-4446-A2B0-4A0A9186F7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1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86E797-4D45-40F1-A2A2-C59D7795FE9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1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0049F7-206E-4C97-937B-5FF0006AAE3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A03684-4EE7-45EF-A8DC-EBCFBA48BED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1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1CB8C-B3AB-4607-A4E6-613ED426964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CDCD90-A8C6-4F6B-943B-0C5F7520F8E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1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DCE042-2457-4B35-9D72-7E5707320C0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2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27F0C3F-9C32-4E91-9CAF-D173504A59C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50"/>
    <xdr:sp macro="" textlink="">
      <xdr:nvSpPr>
        <xdr:cNvPr id="58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E40207A-F533-411A-B2C9-099AD5A3BA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88F818-791C-47A3-A9EE-364DF6AAC72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2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7F924C-55FA-4F9C-BF4B-99D4F6F500F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2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5D3E2E2-0555-4CF9-817E-AADCACA0463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6"/>
    <xdr:sp macro="" textlink="">
      <xdr:nvSpPr>
        <xdr:cNvPr id="58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2026-37E5-4247-958D-4E93DDD200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3"/>
    <xdr:sp macro="" textlink="">
      <xdr:nvSpPr>
        <xdr:cNvPr id="582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8135B8-2CD8-4D4B-8E52-7AB1D051884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6"/>
    <xdr:sp macro="" textlink="">
      <xdr:nvSpPr>
        <xdr:cNvPr id="58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998905-98DC-43F3-BA39-8AF25079B17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3"/>
    <xdr:sp macro="" textlink="">
      <xdr:nvSpPr>
        <xdr:cNvPr id="58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3187190-E4C0-4D16-A19F-36699DB348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B0830F-1A7C-4E87-86A3-96145E90A58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3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C4D471-5748-4430-960F-558F8B3648C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2BF42F-DA14-4F45-BD37-91B9AA4A7FD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8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F371FC-92FA-4BBA-AEC8-510BADF8AE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3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F689DF-F81A-4203-A921-42318DA9DC1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3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E110F34-69A9-49BD-938D-BD867F0561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3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B8F2AA-F420-4268-92AB-F281A8D1071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6"/>
    <xdr:sp macro="" textlink="">
      <xdr:nvSpPr>
        <xdr:cNvPr id="583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61EADA-D7BB-47EB-91AD-2CC10DCC9CD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5"/>
    <xdr:sp macro="" textlink="">
      <xdr:nvSpPr>
        <xdr:cNvPr id="583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1BC5C90-A8C7-419C-A2F4-E33E5B8A682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6"/>
    <xdr:sp macro="" textlink="">
      <xdr:nvSpPr>
        <xdr:cNvPr id="58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F85760D-4D0F-4C41-B6C8-9D2F66F67114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5"/>
    <xdr:sp macro="" textlink="">
      <xdr:nvSpPr>
        <xdr:cNvPr id="58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9E615A-138D-41A6-BFB3-9736AFD9C94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C5B2738-96DE-49ED-B438-7F70E4E7BF2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4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91B3D4-9E73-4CD3-8ED9-D4D2C5600D0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4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7C5EB31-1460-4AE2-A113-5E0930F715A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8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DDBFBC-601E-4243-8666-70F6A02D560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3498A0-80AE-4DDD-A82D-FA889B2B15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4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EDAB07-D2A4-4F29-A14B-7DCFC984587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4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94A3AD6-36F7-49E9-A2E6-454A35AF32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9C13C6-0342-4AB8-AC08-AA3D17026DF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82B478-8F87-491B-9A82-2E584401E12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B9611AE-B60B-4709-8F96-C402DDF084A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5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5271FC-BDBD-4157-A130-CCF03B0FE61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B80BB8-24E1-4495-9329-176B8C685A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5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D61FC9F-6B15-45B5-9390-5833E592D68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5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566345-0B90-475B-8C93-C9A10DF0FA4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50"/>
    <xdr:sp macro="" textlink="">
      <xdr:nvSpPr>
        <xdr:cNvPr id="585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3475B57-A217-43AC-B670-A5F8D35EB49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5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6332EF-3CDF-4474-93E0-1CFBBDEB83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5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B773FD6-219C-43E2-B5D0-CEE3C7B6D18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5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6B98476-D4B8-458A-85B2-E17391054A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5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579702-67EF-47C9-8373-E7CA693BB4D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5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D8D5DC0-E530-4F83-8579-3D1E3F98A47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5DB90D7-ACE6-470F-9D9A-A1F5CD7421E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6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97BE6C-24ED-4795-AC3A-3EAF468B9E4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6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0283863-5BAB-49B6-B544-B7A4894665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6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8EC951-DE9E-4885-8B00-AC71F3FC5DB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6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30CDC5-D5F2-43CC-9E08-562EB41BD00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50"/>
    <xdr:sp macro="" textlink="">
      <xdr:nvSpPr>
        <xdr:cNvPr id="586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898DAB-4213-447A-A08D-08413CCE457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7E37AFC-8CD2-4AC3-AA33-33207061C5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DE3523-9267-477E-8844-2D32AD35B62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2D698D-929F-4F4B-B7A5-2CE1D90962E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3F057BE-972C-4127-95A8-B28B133C02F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7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FF5A47-C5F3-476F-AE2E-840F615AE78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30"/>
    <xdr:sp macro="" textlink="">
      <xdr:nvSpPr>
        <xdr:cNvPr id="587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15EB32A-CDAD-4084-AB4B-F2091173399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27"/>
    <xdr:sp macro="" textlink="">
      <xdr:nvSpPr>
        <xdr:cNvPr id="587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4B5FA6-0BF4-4C0A-A380-2265EA3B36C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7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A2631B8-2D82-4D47-856F-C252397F27C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7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63AF88-4BAF-4190-958A-A6815DE853C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7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BF06BA-20EB-4F85-BA59-F55A7B435B1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50"/>
    <xdr:sp macro="" textlink="">
      <xdr:nvSpPr>
        <xdr:cNvPr id="58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BEACD3-0CF3-4F61-8C98-65F62AEB96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293ACB4-561C-4D6B-8FCE-D43BAEC36ED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6"/>
    <xdr:sp macro="" textlink="">
      <xdr:nvSpPr>
        <xdr:cNvPr id="587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8F1929-7116-4F18-80C6-AC3A839B6CA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87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6DD38F8-E778-4349-9CF9-2F361217477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6"/>
    <xdr:sp macro="" textlink="">
      <xdr:nvSpPr>
        <xdr:cNvPr id="588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B4D50DA-01B8-44D9-9897-1228D95401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3"/>
    <xdr:sp macro="" textlink="">
      <xdr:nvSpPr>
        <xdr:cNvPr id="588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3A5C4C-D56C-44D1-9FA0-96A0A8120E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6"/>
    <xdr:sp macro="" textlink="">
      <xdr:nvSpPr>
        <xdr:cNvPr id="588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B5012E-69BE-49C6-9216-8CAD221E2F3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5833"/>
    <xdr:sp macro="" textlink="">
      <xdr:nvSpPr>
        <xdr:cNvPr id="588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B783CB2-08C7-4F63-B426-C5D9E4B4BFD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5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8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72B1A9-D038-492E-A308-C6068C400C0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85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0D7FC81-1312-46C1-81D6-A2AD94EA28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8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394769-5538-41E8-9776-3FF62CF8E4D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88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B73E78-0319-4613-8704-B56796B3AAF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8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72F59A-C5D6-4B8A-A6C8-BED0D05D57D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8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92BF409-D1A0-4BD2-8463-E18AF6ECE2A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9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51169EA-4374-4609-9CB0-E67AF27BCCB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6"/>
    <xdr:sp macro="" textlink="">
      <xdr:nvSpPr>
        <xdr:cNvPr id="589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41FE3F-E994-47EE-A14C-78FBE4366E8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5"/>
    <xdr:sp macro="" textlink="">
      <xdr:nvSpPr>
        <xdr:cNvPr id="5892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046C29-31DA-4C5B-8126-6217389753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6"/>
    <xdr:sp macro="" textlink="">
      <xdr:nvSpPr>
        <xdr:cNvPr id="589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6FBBCCC-6265-4350-BAB5-5EFEE1D6FC7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8075"/>
    <xdr:sp macro="" textlink="">
      <xdr:nvSpPr>
        <xdr:cNvPr id="589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B24B04-1D3F-4C87-ADAD-6BFD6B30E6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9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313943-0FA9-4ADD-9BE3-51776DE0E6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89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DADD32-A43C-4EA5-8FA9-B251F6FEDB5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9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5DF5204-17B8-41D4-A382-AA201CA2A0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6"/>
    <xdr:sp macro="" textlink="">
      <xdr:nvSpPr>
        <xdr:cNvPr id="589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558223-B509-4A44-A37D-7DD4E102E5B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89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2FCCD14-409E-4B92-8152-7E92E8E160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2"/>
    <xdr:sp macro="" textlink="">
      <xdr:nvSpPr>
        <xdr:cNvPr id="5900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FE65DD1-4033-444C-AAC6-8249B3230D5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5"/>
    <xdr:sp macro="" textlink="">
      <xdr:nvSpPr>
        <xdr:cNvPr id="590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D04445B-BDF8-4F42-B68B-269A025E37A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0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E5DF53-1069-4793-BA89-4480BCB4D80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0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369C79-1FC7-48B2-92C6-3C5562BF477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90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1BE0E8E-DED0-40C4-9E74-7EB56DDBACB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0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3C2163D-C273-4885-B00E-9945295426C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0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A4B297-8A05-46DB-AB9D-1ED1B4A0683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90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947D693-481A-4633-BF4A-22271285884C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0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4954A2-E71C-4065-9499-2ACE949C4C9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0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6D08B71-96FD-44EC-9114-88309ABDB2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91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FAFC1E-E491-4818-8DC3-B168B8D99012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91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43D51AD-CE4F-4175-A2C1-1CD4534852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91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47C334-AA2E-4237-B08C-5A342A1624A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91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7433611-B4C6-4618-B7CE-1AC9AE4F4DC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9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8C4E4-E188-4B9A-919C-55370A1D8B0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9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C7DF46-209D-45AA-8876-4A513A91E8C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9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4AAE9D0-F35C-4107-9330-587F3FA6160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9F72BED-353F-4979-A601-B2C71D690153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1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0DFE7-7016-448D-8324-DFB7FF9D27E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1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182561-ADA2-46C9-B8DC-37430E537D3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935D75E-7FEB-4EC7-8019-4543830939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2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951EC43-799E-4194-A5E9-6F3965F63BC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2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DF3CAE8-4BA4-43F9-9226-B46D3930C5D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E331909-45F9-43CE-A187-DDAA66736E8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2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00D4532-FC74-4349-8D42-8EA7092A41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2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53CBAF4-5565-4A76-BD7C-F2DC9B5ECC9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1A8AA02-A176-4E74-9D3A-DCE071D5E83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2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CC09AEA-A8FF-4F12-B16E-FF29CA2622DB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2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5DA49DC-1343-46C1-8E7E-532CBC10E2F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92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A94349-7FB8-4298-B18A-949B7B82E8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3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8B1493-1720-4EA8-A552-E99D3DA7ADFF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31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B17E2C5-9531-4918-9D4F-CAED9B38D4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9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C4187CB-9B22-4457-BDF4-24D2A1B5508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3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85D876E-83E2-4DB3-8205-4C5255E4DCD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9248"/>
    <xdr:sp macro="" textlink="">
      <xdr:nvSpPr>
        <xdr:cNvPr id="59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88B7423-9977-4352-8D09-075B30DA452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0981"/>
    <xdr:sp macro="" textlink="">
      <xdr:nvSpPr>
        <xdr:cNvPr id="59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2A9F7A-221C-489E-86FF-05996293596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936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12DBC84-532F-4B24-9F4F-CDBEEE270A36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4154"/>
    <xdr:sp macro="" textlink="">
      <xdr:nvSpPr>
        <xdr:cNvPr id="59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62B16DB-09C9-4703-9ABA-1012D8AFB050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93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B1B15A6-287D-4798-B081-FE20566B81B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6395"/>
    <xdr:sp macro="" textlink="">
      <xdr:nvSpPr>
        <xdr:cNvPr id="593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3179FA6-AE70-4263-9ED9-15EE4351FDC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94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02D428-1EDF-4338-8D0E-3AC055CA81E7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0794"/>
    <xdr:sp macro="" textlink="">
      <xdr:nvSpPr>
        <xdr:cNvPr id="59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F7CE86B-8F69-47D8-8572-48D63914495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0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C3576D5-1614-4852-A4DC-71DE1FE3C2A1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4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5AC258C-6B22-4332-8B43-6CFE0656106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44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0ADF8A4-46AC-4776-B8E9-81CCF871F19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B709695-B6D6-4057-9094-9FD31343DDE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82CDD43-8374-45C2-AB7D-A4E1C19D0B7D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CA7F00D-0908-4EF5-B337-398E3272906E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4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7F65F1-0602-49E6-9F47-36450F5A93F9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307705"/>
    <xdr:sp macro="" textlink="">
      <xdr:nvSpPr>
        <xdr:cNvPr id="594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3FB2D5-7C4E-4058-9054-A9ADA2D9AC2A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3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1F4F0C7-8E0E-4095-A418-6F3A3FB91378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  <xdr:oneCellAnchor>
    <xdr:from>
      <xdr:col>13</xdr:col>
      <xdr:colOff>0</xdr:colOff>
      <xdr:row>178</xdr:row>
      <xdr:rowOff>0</xdr:rowOff>
    </xdr:from>
    <xdr:ext cx="304800" cy="297518"/>
    <xdr:sp macro="" textlink="">
      <xdr:nvSpPr>
        <xdr:cNvPr id="595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361AB28-D8E6-4DB2-B256-9A066D59A155}"/>
            </a:ext>
          </a:extLst>
        </xdr:cNvPr>
        <xdr:cNvSpPr>
          <a:spLocks noChangeAspect="1" noChangeArrowheads="1"/>
        </xdr:cNvSpPr>
      </xdr:nvSpPr>
      <xdr:spPr bwMode="auto">
        <a:xfrm>
          <a:off x="16811625" y="164334825"/>
          <a:ext cx="304800" cy="297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175"/>
  <sheetViews>
    <sheetView tabSelected="1" topLeftCell="C1" zoomScale="85" zoomScaleNormal="85" workbookViewId="0">
      <pane ySplit="3" topLeftCell="A57" activePane="bottomLeft" state="frozen"/>
      <selection pane="bottomLeft" activeCell="G1" sqref="G1"/>
    </sheetView>
  </sheetViews>
  <sheetFormatPr defaultRowHeight="16.5"/>
  <cols>
    <col min="1" max="1" width="6.375" style="91" hidden="1" customWidth="1"/>
    <col min="2" max="2" width="3.75" style="92" hidden="1" customWidth="1"/>
    <col min="3" max="3" width="7.75" style="92" customWidth="1"/>
    <col min="4" max="5" width="8" style="92" customWidth="1"/>
    <col min="6" max="6" width="12.125" style="92" customWidth="1"/>
    <col min="7" max="7" width="45.375" style="93" customWidth="1"/>
    <col min="8" max="8" width="16.25" style="92" customWidth="1"/>
    <col min="9" max="9" width="23" style="94" customWidth="1"/>
    <col min="10" max="10" width="12.375" style="92" customWidth="1"/>
    <col min="11" max="13" width="11.25" style="95" customWidth="1"/>
    <col min="14" max="14" width="15.125" style="96" customWidth="1"/>
    <col min="15" max="15" width="20.625" style="92" customWidth="1"/>
  </cols>
  <sheetData>
    <row r="1" spans="1:15" ht="45" customHeight="1" thickBot="1">
      <c r="B1" s="99"/>
      <c r="C1" s="99" t="s">
        <v>1694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139"/>
      <c r="O1" s="142"/>
    </row>
    <row r="2" spans="1:15" ht="15" customHeight="1">
      <c r="A2" s="124" t="s">
        <v>2983</v>
      </c>
      <c r="B2" s="112" t="s">
        <v>1</v>
      </c>
      <c r="C2" s="112" t="s">
        <v>0</v>
      </c>
      <c r="D2" s="117" t="s">
        <v>2</v>
      </c>
      <c r="E2" s="118"/>
      <c r="F2" s="112" t="s">
        <v>3</v>
      </c>
      <c r="G2" s="112" t="s">
        <v>4</v>
      </c>
      <c r="H2" s="112" t="s">
        <v>5</v>
      </c>
      <c r="I2" s="114" t="s">
        <v>6</v>
      </c>
      <c r="J2" s="112" t="s">
        <v>7</v>
      </c>
      <c r="K2" s="121" t="s">
        <v>1695</v>
      </c>
      <c r="L2" s="122"/>
      <c r="M2" s="123"/>
      <c r="N2" s="140" t="s">
        <v>2982</v>
      </c>
      <c r="O2" s="119" t="s">
        <v>8</v>
      </c>
    </row>
    <row r="3" spans="1:15" s="1" customFormat="1" ht="33.75" customHeight="1">
      <c r="A3" s="116"/>
      <c r="B3" s="113"/>
      <c r="C3" s="113"/>
      <c r="D3" s="98" t="s">
        <v>2529</v>
      </c>
      <c r="E3" s="98" t="s">
        <v>1732</v>
      </c>
      <c r="F3" s="113"/>
      <c r="G3" s="113"/>
      <c r="H3" s="113"/>
      <c r="I3" s="115"/>
      <c r="J3" s="113"/>
      <c r="K3" s="98" t="s">
        <v>1696</v>
      </c>
      <c r="L3" s="98" t="s">
        <v>1697</v>
      </c>
      <c r="M3" s="98" t="s">
        <v>2522</v>
      </c>
      <c r="N3" s="141"/>
      <c r="O3" s="120"/>
    </row>
    <row r="4" spans="1:15" ht="17.25" customHeight="1">
      <c r="A4" s="106"/>
      <c r="B4" s="107"/>
      <c r="C4" s="107"/>
      <c r="D4" s="107"/>
      <c r="E4" s="107"/>
      <c r="F4" s="108"/>
      <c r="G4" s="179" t="s">
        <v>2987</v>
      </c>
      <c r="H4" s="108"/>
      <c r="I4" s="108"/>
      <c r="J4" s="107"/>
      <c r="K4" s="109"/>
      <c r="L4" s="109"/>
      <c r="M4" s="109"/>
      <c r="N4" s="110"/>
      <c r="O4" s="143"/>
    </row>
    <row r="5" spans="1:15" ht="16.5" customHeight="1">
      <c r="A5" s="2" t="s">
        <v>2984</v>
      </c>
      <c r="B5" s="3">
        <v>1</v>
      </c>
      <c r="C5" s="3">
        <v>1</v>
      </c>
      <c r="D5" s="3" t="s">
        <v>14</v>
      </c>
      <c r="E5" s="3"/>
      <c r="F5" s="4"/>
      <c r="G5" s="18" t="s">
        <v>1578</v>
      </c>
      <c r="H5" s="4" t="s">
        <v>1579</v>
      </c>
      <c r="I5" s="4" t="s">
        <v>1580</v>
      </c>
      <c r="J5" s="3" t="s">
        <v>1581</v>
      </c>
      <c r="K5" s="6">
        <v>15</v>
      </c>
      <c r="L5" s="6"/>
      <c r="M5" s="6">
        <f t="shared" ref="M5:M36" si="0">K5+L5</f>
        <v>15</v>
      </c>
      <c r="N5" s="8" t="s">
        <v>2934</v>
      </c>
      <c r="O5" s="144"/>
    </row>
    <row r="6" spans="1:15" ht="16.5" customHeight="1">
      <c r="A6" s="2" t="s">
        <v>2984</v>
      </c>
      <c r="B6" s="3">
        <v>2</v>
      </c>
      <c r="C6" s="3">
        <v>2</v>
      </c>
      <c r="D6" s="3" t="s">
        <v>1065</v>
      </c>
      <c r="E6" s="3"/>
      <c r="F6" s="4"/>
      <c r="G6" s="18" t="s">
        <v>1582</v>
      </c>
      <c r="H6" s="4" t="s">
        <v>1583</v>
      </c>
      <c r="I6" s="4" t="s">
        <v>1584</v>
      </c>
      <c r="J6" s="3" t="s">
        <v>79</v>
      </c>
      <c r="K6" s="6">
        <v>300</v>
      </c>
      <c r="L6" s="6"/>
      <c r="M6" s="6">
        <f t="shared" si="0"/>
        <v>300</v>
      </c>
      <c r="N6" s="8" t="s">
        <v>2934</v>
      </c>
      <c r="O6" s="144"/>
    </row>
    <row r="7" spans="1:15" ht="16.5" customHeight="1">
      <c r="A7" s="2" t="s">
        <v>2984</v>
      </c>
      <c r="B7" s="3">
        <v>3</v>
      </c>
      <c r="C7" s="3">
        <v>3</v>
      </c>
      <c r="D7" s="3" t="s">
        <v>14</v>
      </c>
      <c r="E7" s="3"/>
      <c r="F7" s="102" t="s">
        <v>2924</v>
      </c>
      <c r="G7" s="18" t="s">
        <v>1585</v>
      </c>
      <c r="H7" s="4" t="s">
        <v>1586</v>
      </c>
      <c r="I7" s="4" t="s">
        <v>1587</v>
      </c>
      <c r="J7" s="3" t="s">
        <v>35</v>
      </c>
      <c r="K7" s="6">
        <v>200</v>
      </c>
      <c r="L7" s="6"/>
      <c r="M7" s="6">
        <f t="shared" si="0"/>
        <v>200</v>
      </c>
      <c r="N7" s="8"/>
      <c r="O7" s="144"/>
    </row>
    <row r="8" spans="1:15" ht="16.5" customHeight="1">
      <c r="A8" s="2" t="s">
        <v>2984</v>
      </c>
      <c r="B8" s="3">
        <v>4</v>
      </c>
      <c r="C8" s="3">
        <v>4</v>
      </c>
      <c r="D8" s="3" t="s">
        <v>1588</v>
      </c>
      <c r="E8" s="3"/>
      <c r="F8" s="102" t="s">
        <v>2925</v>
      </c>
      <c r="G8" s="18" t="s">
        <v>1589</v>
      </c>
      <c r="H8" s="4" t="s">
        <v>1590</v>
      </c>
      <c r="I8" s="4" t="s">
        <v>1591</v>
      </c>
      <c r="J8" s="3" t="s">
        <v>1592</v>
      </c>
      <c r="K8" s="6">
        <v>100</v>
      </c>
      <c r="L8" s="6"/>
      <c r="M8" s="6">
        <f t="shared" si="0"/>
        <v>100</v>
      </c>
      <c r="N8" s="8">
        <f>356*50</f>
        <v>17800</v>
      </c>
      <c r="O8" s="144" t="s">
        <v>2936</v>
      </c>
    </row>
    <row r="9" spans="1:15">
      <c r="A9" s="2" t="s">
        <v>2984</v>
      </c>
      <c r="B9" s="3">
        <v>5</v>
      </c>
      <c r="C9" s="3">
        <v>5</v>
      </c>
      <c r="D9" s="3" t="s">
        <v>1065</v>
      </c>
      <c r="E9" s="3"/>
      <c r="F9" s="102" t="s">
        <v>2926</v>
      </c>
      <c r="G9" s="18" t="s">
        <v>1593</v>
      </c>
      <c r="H9" s="4" t="s">
        <v>1594</v>
      </c>
      <c r="I9" s="4" t="s">
        <v>1595</v>
      </c>
      <c r="J9" s="3" t="s">
        <v>79</v>
      </c>
      <c r="K9" s="6">
        <v>100</v>
      </c>
      <c r="L9" s="6"/>
      <c r="M9" s="6">
        <f t="shared" si="0"/>
        <v>100</v>
      </c>
      <c r="N9" s="8"/>
      <c r="O9" s="144"/>
    </row>
    <row r="10" spans="1:15" ht="16.5" customHeight="1">
      <c r="A10" s="2" t="s">
        <v>2984</v>
      </c>
      <c r="B10" s="3">
        <v>6</v>
      </c>
      <c r="C10" s="3">
        <v>6</v>
      </c>
      <c r="D10" s="3" t="s">
        <v>1596</v>
      </c>
      <c r="E10" s="3"/>
      <c r="F10" s="102" t="s">
        <v>2927</v>
      </c>
      <c r="G10" s="18" t="s">
        <v>1597</v>
      </c>
      <c r="H10" s="4" t="s">
        <v>1598</v>
      </c>
      <c r="I10" s="4" t="s">
        <v>1584</v>
      </c>
      <c r="J10" s="3" t="s">
        <v>1069</v>
      </c>
      <c r="K10" s="6">
        <v>100</v>
      </c>
      <c r="L10" s="6"/>
      <c r="M10" s="6">
        <f t="shared" si="0"/>
        <v>100</v>
      </c>
      <c r="N10" s="8"/>
      <c r="O10" s="144"/>
    </row>
    <row r="11" spans="1:15">
      <c r="A11" s="2" t="s">
        <v>2984</v>
      </c>
      <c r="B11" s="3">
        <v>7</v>
      </c>
      <c r="C11" s="3">
        <v>7</v>
      </c>
      <c r="D11" s="3" t="s">
        <v>14</v>
      </c>
      <c r="E11" s="3"/>
      <c r="F11" s="102" t="s">
        <v>2928</v>
      </c>
      <c r="G11" s="18" t="s">
        <v>1599</v>
      </c>
      <c r="H11" s="4" t="s">
        <v>1600</v>
      </c>
      <c r="I11" s="4" t="s">
        <v>1068</v>
      </c>
      <c r="J11" s="3" t="s">
        <v>18</v>
      </c>
      <c r="K11" s="6">
        <v>250</v>
      </c>
      <c r="L11" s="6"/>
      <c r="M11" s="6">
        <f t="shared" si="0"/>
        <v>250</v>
      </c>
      <c r="N11" s="8"/>
      <c r="O11" s="144"/>
    </row>
    <row r="12" spans="1:15">
      <c r="A12" s="2" t="s">
        <v>2984</v>
      </c>
      <c r="B12" s="3">
        <v>8</v>
      </c>
      <c r="C12" s="3">
        <v>8</v>
      </c>
      <c r="D12" s="3" t="s">
        <v>14</v>
      </c>
      <c r="E12" s="3"/>
      <c r="F12" s="102" t="s">
        <v>2929</v>
      </c>
      <c r="G12" s="18" t="s">
        <v>1601</v>
      </c>
      <c r="H12" s="4" t="s">
        <v>1602</v>
      </c>
      <c r="I12" s="4" t="s">
        <v>1603</v>
      </c>
      <c r="J12" s="3" t="s">
        <v>38</v>
      </c>
      <c r="K12" s="6">
        <v>30</v>
      </c>
      <c r="L12" s="6"/>
      <c r="M12" s="6">
        <f t="shared" si="0"/>
        <v>30</v>
      </c>
      <c r="N12" s="8"/>
      <c r="O12" s="144"/>
    </row>
    <row r="13" spans="1:15">
      <c r="A13" s="2" t="s">
        <v>2984</v>
      </c>
      <c r="B13" s="3">
        <v>9</v>
      </c>
      <c r="C13" s="3">
        <v>9</v>
      </c>
      <c r="D13" s="3" t="s">
        <v>75</v>
      </c>
      <c r="E13" s="3"/>
      <c r="F13" s="102" t="s">
        <v>2930</v>
      </c>
      <c r="G13" s="18" t="s">
        <v>1604</v>
      </c>
      <c r="H13" s="4" t="s">
        <v>1605</v>
      </c>
      <c r="I13" s="4" t="s">
        <v>1606</v>
      </c>
      <c r="J13" s="4" t="s">
        <v>1607</v>
      </c>
      <c r="K13" s="6">
        <v>10</v>
      </c>
      <c r="L13" s="6"/>
      <c r="M13" s="6">
        <f t="shared" si="0"/>
        <v>10</v>
      </c>
      <c r="N13" s="8"/>
      <c r="O13" s="144"/>
    </row>
    <row r="14" spans="1:15" ht="16.5" customHeight="1">
      <c r="A14" s="2" t="s">
        <v>2984</v>
      </c>
      <c r="B14" s="3">
        <v>10</v>
      </c>
      <c r="C14" s="3">
        <v>10</v>
      </c>
      <c r="D14" s="3" t="s">
        <v>75</v>
      </c>
      <c r="E14" s="3"/>
      <c r="F14" s="103" t="s">
        <v>2931</v>
      </c>
      <c r="G14" s="29" t="s">
        <v>1608</v>
      </c>
      <c r="H14" s="21" t="s">
        <v>1609</v>
      </c>
      <c r="I14" s="28" t="s">
        <v>1610</v>
      </c>
      <c r="J14" s="28" t="s">
        <v>1611</v>
      </c>
      <c r="K14" s="6">
        <v>5</v>
      </c>
      <c r="L14" s="6"/>
      <c r="M14" s="6">
        <f t="shared" si="0"/>
        <v>5</v>
      </c>
      <c r="N14" s="8">
        <v>78160</v>
      </c>
      <c r="O14" s="144"/>
    </row>
    <row r="15" spans="1:15">
      <c r="A15" s="2" t="s">
        <v>2984</v>
      </c>
      <c r="B15" s="3">
        <v>11</v>
      </c>
      <c r="C15" s="3">
        <v>11</v>
      </c>
      <c r="D15" s="3" t="s">
        <v>75</v>
      </c>
      <c r="E15" s="3"/>
      <c r="F15" s="104" t="s">
        <v>2932</v>
      </c>
      <c r="G15" s="29" t="s">
        <v>1612</v>
      </c>
      <c r="H15" s="21" t="s">
        <v>1613</v>
      </c>
      <c r="I15" s="28" t="s">
        <v>1614</v>
      </c>
      <c r="J15" s="28" t="s">
        <v>1611</v>
      </c>
      <c r="K15" s="6">
        <v>4</v>
      </c>
      <c r="L15" s="6"/>
      <c r="M15" s="6">
        <f t="shared" si="0"/>
        <v>4</v>
      </c>
      <c r="N15" s="8"/>
      <c r="O15" s="144"/>
    </row>
    <row r="16" spans="1:15">
      <c r="A16" s="2" t="s">
        <v>2984</v>
      </c>
      <c r="B16" s="3">
        <v>12</v>
      </c>
      <c r="C16" s="3">
        <v>12</v>
      </c>
      <c r="D16" s="3" t="s">
        <v>75</v>
      </c>
      <c r="E16" s="3"/>
      <c r="F16" s="105" t="s">
        <v>2933</v>
      </c>
      <c r="G16" s="75" t="s">
        <v>1615</v>
      </c>
      <c r="H16" s="65" t="s">
        <v>1605</v>
      </c>
      <c r="I16" s="4" t="s">
        <v>1606</v>
      </c>
      <c r="J16" s="28" t="s">
        <v>674</v>
      </c>
      <c r="K16" s="6">
        <v>120</v>
      </c>
      <c r="L16" s="6"/>
      <c r="M16" s="6">
        <f t="shared" si="0"/>
        <v>120</v>
      </c>
      <c r="N16" s="8"/>
      <c r="O16" s="144"/>
    </row>
    <row r="17" spans="1:15" ht="16.5" customHeight="1">
      <c r="A17" s="13"/>
      <c r="B17" s="14"/>
      <c r="C17" s="14"/>
      <c r="D17" s="14"/>
      <c r="E17" s="14"/>
      <c r="F17" s="15"/>
      <c r="G17" s="16"/>
      <c r="H17" s="15"/>
      <c r="I17" s="15"/>
      <c r="J17" s="14"/>
      <c r="K17" s="157">
        <f>SUM(K5:K16)</f>
        <v>1234</v>
      </c>
      <c r="L17" s="157">
        <f t="shared" ref="L17:M17" si="1">SUM(L5:L16)</f>
        <v>0</v>
      </c>
      <c r="M17" s="157">
        <f t="shared" si="1"/>
        <v>1234</v>
      </c>
      <c r="N17" s="17"/>
      <c r="O17" s="145"/>
    </row>
    <row r="18" spans="1:15" ht="16.5" customHeight="1">
      <c r="A18" s="2">
        <v>1</v>
      </c>
      <c r="B18" s="3">
        <v>1</v>
      </c>
      <c r="C18" s="3">
        <v>13</v>
      </c>
      <c r="D18" s="3" t="s">
        <v>488</v>
      </c>
      <c r="E18" s="3"/>
      <c r="F18" s="4" t="s">
        <v>1450</v>
      </c>
      <c r="G18" s="18" t="s">
        <v>1451</v>
      </c>
      <c r="H18" s="4" t="s">
        <v>1452</v>
      </c>
      <c r="I18" s="4" t="s">
        <v>1453</v>
      </c>
      <c r="J18" s="3" t="s">
        <v>35</v>
      </c>
      <c r="K18" s="131">
        <v>60</v>
      </c>
      <c r="L18" s="131"/>
      <c r="M18" s="131">
        <f t="shared" si="0"/>
        <v>60</v>
      </c>
      <c r="N18" s="132">
        <v>14810</v>
      </c>
      <c r="O18" s="146"/>
    </row>
    <row r="19" spans="1:15" ht="16.5" customHeight="1">
      <c r="A19" s="2">
        <v>1</v>
      </c>
      <c r="B19" s="3">
        <v>2</v>
      </c>
      <c r="C19" s="3">
        <v>14</v>
      </c>
      <c r="D19" s="3" t="s">
        <v>488</v>
      </c>
      <c r="E19" s="3"/>
      <c r="F19" s="4"/>
      <c r="G19" s="18" t="s">
        <v>1454</v>
      </c>
      <c r="H19" s="4" t="s">
        <v>84</v>
      </c>
      <c r="I19" s="4" t="s">
        <v>1455</v>
      </c>
      <c r="J19" s="3" t="s">
        <v>35</v>
      </c>
      <c r="K19" s="6">
        <v>10</v>
      </c>
      <c r="L19" s="6"/>
      <c r="M19" s="6">
        <f t="shared" si="0"/>
        <v>10</v>
      </c>
      <c r="N19" s="8" t="s">
        <v>2934</v>
      </c>
      <c r="O19" s="144"/>
    </row>
    <row r="20" spans="1:15" ht="16.5" customHeight="1">
      <c r="A20" s="2">
        <v>1</v>
      </c>
      <c r="B20" s="3">
        <v>3</v>
      </c>
      <c r="C20" s="3">
        <v>15</v>
      </c>
      <c r="D20" s="3" t="s">
        <v>488</v>
      </c>
      <c r="E20" s="3"/>
      <c r="F20" s="4"/>
      <c r="G20" s="18" t="s">
        <v>1456</v>
      </c>
      <c r="H20" s="4" t="s">
        <v>1410</v>
      </c>
      <c r="I20" s="4" t="s">
        <v>1457</v>
      </c>
      <c r="J20" s="3" t="s">
        <v>35</v>
      </c>
      <c r="K20" s="6">
        <v>3</v>
      </c>
      <c r="L20" s="6"/>
      <c r="M20" s="6">
        <f t="shared" si="0"/>
        <v>3</v>
      </c>
      <c r="N20" s="8" t="s">
        <v>2934</v>
      </c>
      <c r="O20" s="144"/>
    </row>
    <row r="21" spans="1:15" ht="16.5" customHeight="1">
      <c r="A21" s="2">
        <v>1</v>
      </c>
      <c r="B21" s="3">
        <v>4</v>
      </c>
      <c r="C21" s="3">
        <v>16</v>
      </c>
      <c r="D21" s="3" t="s">
        <v>488</v>
      </c>
      <c r="E21" s="3"/>
      <c r="F21" s="4"/>
      <c r="G21" s="18" t="s">
        <v>1458</v>
      </c>
      <c r="H21" s="4" t="s">
        <v>84</v>
      </c>
      <c r="I21" s="4" t="s">
        <v>1457</v>
      </c>
      <c r="J21" s="3" t="s">
        <v>35</v>
      </c>
      <c r="K21" s="6">
        <v>20</v>
      </c>
      <c r="L21" s="6"/>
      <c r="M21" s="6">
        <f t="shared" si="0"/>
        <v>20</v>
      </c>
      <c r="N21" s="8" t="s">
        <v>2934</v>
      </c>
      <c r="O21" s="144"/>
    </row>
    <row r="22" spans="1:15" ht="16.5" customHeight="1">
      <c r="A22" s="2">
        <v>1</v>
      </c>
      <c r="B22" s="3">
        <v>5</v>
      </c>
      <c r="C22" s="3">
        <v>17</v>
      </c>
      <c r="D22" s="3" t="s">
        <v>488</v>
      </c>
      <c r="E22" s="3"/>
      <c r="F22" s="3"/>
      <c r="G22" s="46" t="s">
        <v>1459</v>
      </c>
      <c r="H22" s="3" t="s">
        <v>84</v>
      </c>
      <c r="I22" s="3" t="s">
        <v>1457</v>
      </c>
      <c r="J22" s="3" t="s">
        <v>35</v>
      </c>
      <c r="K22" s="6">
        <v>150</v>
      </c>
      <c r="L22" s="6"/>
      <c r="M22" s="6">
        <f t="shared" si="0"/>
        <v>150</v>
      </c>
      <c r="N22" s="8" t="s">
        <v>2934</v>
      </c>
      <c r="O22" s="144"/>
    </row>
    <row r="23" spans="1:15" ht="16.5" customHeight="1">
      <c r="A23" s="2">
        <v>1</v>
      </c>
      <c r="B23" s="3">
        <v>6</v>
      </c>
      <c r="C23" s="3">
        <v>18</v>
      </c>
      <c r="D23" s="3" t="s">
        <v>488</v>
      </c>
      <c r="E23" s="3"/>
      <c r="F23" s="4"/>
      <c r="G23" s="18" t="s">
        <v>1460</v>
      </c>
      <c r="H23" s="4" t="s">
        <v>84</v>
      </c>
      <c r="I23" s="4" t="s">
        <v>1457</v>
      </c>
      <c r="J23" s="3" t="s">
        <v>35</v>
      </c>
      <c r="K23" s="6">
        <v>400</v>
      </c>
      <c r="L23" s="6"/>
      <c r="M23" s="6">
        <f t="shared" si="0"/>
        <v>400</v>
      </c>
      <c r="N23" s="8" t="s">
        <v>2934</v>
      </c>
      <c r="O23" s="144"/>
    </row>
    <row r="24" spans="1:15" ht="16.5" customHeight="1">
      <c r="A24" s="2">
        <v>1</v>
      </c>
      <c r="B24" s="3">
        <v>7</v>
      </c>
      <c r="C24" s="3">
        <v>19</v>
      </c>
      <c r="D24" s="3" t="s">
        <v>488</v>
      </c>
      <c r="E24" s="3"/>
      <c r="F24" s="4"/>
      <c r="G24" s="18" t="s">
        <v>1461</v>
      </c>
      <c r="H24" s="4" t="s">
        <v>1410</v>
      </c>
      <c r="I24" s="4" t="s">
        <v>1462</v>
      </c>
      <c r="J24" s="3" t="s">
        <v>35</v>
      </c>
      <c r="K24" s="6">
        <v>5</v>
      </c>
      <c r="L24" s="6"/>
      <c r="M24" s="6">
        <f t="shared" si="0"/>
        <v>5</v>
      </c>
      <c r="N24" s="8" t="s">
        <v>2934</v>
      </c>
      <c r="O24" s="144"/>
    </row>
    <row r="25" spans="1:15" ht="16.5" customHeight="1">
      <c r="A25" s="2">
        <v>1</v>
      </c>
      <c r="B25" s="3">
        <v>8</v>
      </c>
      <c r="C25" s="3">
        <v>20</v>
      </c>
      <c r="D25" s="3" t="s">
        <v>488</v>
      </c>
      <c r="E25" s="3"/>
      <c r="F25" s="4"/>
      <c r="G25" s="18" t="s">
        <v>1463</v>
      </c>
      <c r="H25" s="4" t="s">
        <v>1410</v>
      </c>
      <c r="I25" s="4" t="s">
        <v>1457</v>
      </c>
      <c r="J25" s="3" t="s">
        <v>35</v>
      </c>
      <c r="K25" s="6">
        <v>40</v>
      </c>
      <c r="L25" s="6"/>
      <c r="M25" s="6">
        <f t="shared" si="0"/>
        <v>40</v>
      </c>
      <c r="N25" s="8" t="s">
        <v>2934</v>
      </c>
      <c r="O25" s="144"/>
    </row>
    <row r="26" spans="1:15" ht="16.5" customHeight="1">
      <c r="A26" s="13"/>
      <c r="B26" s="14"/>
      <c r="C26" s="14"/>
      <c r="D26" s="14"/>
      <c r="E26" s="14"/>
      <c r="F26" s="15"/>
      <c r="G26" s="16"/>
      <c r="H26" s="15"/>
      <c r="I26" s="15"/>
      <c r="J26" s="14"/>
      <c r="K26" s="157">
        <f>SUM(K18:K25)</f>
        <v>688</v>
      </c>
      <c r="L26" s="157">
        <f t="shared" ref="L26:M26" si="2">SUM(L18:L25)</f>
        <v>0</v>
      </c>
      <c r="M26" s="157">
        <f t="shared" si="2"/>
        <v>688</v>
      </c>
      <c r="N26" s="17"/>
      <c r="O26" s="145"/>
    </row>
    <row r="27" spans="1:15" ht="17.25" customHeight="1">
      <c r="A27" s="2">
        <v>2</v>
      </c>
      <c r="B27" s="3">
        <v>1</v>
      </c>
      <c r="C27" s="3">
        <v>21</v>
      </c>
      <c r="D27" s="3" t="s">
        <v>75</v>
      </c>
      <c r="E27" s="3"/>
      <c r="F27" s="35"/>
      <c r="G27" s="69" t="s">
        <v>1536</v>
      </c>
      <c r="H27" s="4" t="s">
        <v>1537</v>
      </c>
      <c r="I27" s="4" t="s">
        <v>1538</v>
      </c>
      <c r="J27" s="28" t="s">
        <v>28</v>
      </c>
      <c r="K27" s="6">
        <v>10</v>
      </c>
      <c r="L27" s="6"/>
      <c r="M27" s="6">
        <f t="shared" si="0"/>
        <v>10</v>
      </c>
      <c r="N27" s="8" t="s">
        <v>2934</v>
      </c>
      <c r="O27" s="144"/>
    </row>
    <row r="28" spans="1:15" ht="17.25" customHeight="1">
      <c r="A28" s="2">
        <v>2</v>
      </c>
      <c r="B28" s="3">
        <v>2</v>
      </c>
      <c r="C28" s="3">
        <v>22</v>
      </c>
      <c r="D28" s="3" t="s">
        <v>1539</v>
      </c>
      <c r="E28" s="3"/>
      <c r="F28" s="35"/>
      <c r="G28" s="69" t="s">
        <v>1540</v>
      </c>
      <c r="H28" s="4" t="s">
        <v>175</v>
      </c>
      <c r="I28" s="4" t="s">
        <v>1541</v>
      </c>
      <c r="J28" s="28" t="s">
        <v>28</v>
      </c>
      <c r="K28" s="6">
        <f>1+1</f>
        <v>2</v>
      </c>
      <c r="L28" s="6"/>
      <c r="M28" s="6">
        <f t="shared" si="0"/>
        <v>2</v>
      </c>
      <c r="N28" s="8" t="s">
        <v>2934</v>
      </c>
      <c r="O28" s="144"/>
    </row>
    <row r="29" spans="1:15" ht="17.25" customHeight="1">
      <c r="A29" s="2">
        <v>2</v>
      </c>
      <c r="B29" s="3">
        <v>3</v>
      </c>
      <c r="C29" s="3">
        <v>23</v>
      </c>
      <c r="D29" s="3" t="s">
        <v>1539</v>
      </c>
      <c r="E29" s="3"/>
      <c r="F29" s="35"/>
      <c r="G29" s="69" t="s">
        <v>1542</v>
      </c>
      <c r="H29" s="4" t="s">
        <v>175</v>
      </c>
      <c r="I29" s="4" t="s">
        <v>1543</v>
      </c>
      <c r="J29" s="28" t="s">
        <v>1544</v>
      </c>
      <c r="K29" s="6">
        <f>2+4</f>
        <v>6</v>
      </c>
      <c r="L29" s="6"/>
      <c r="M29" s="6">
        <f t="shared" si="0"/>
        <v>6</v>
      </c>
      <c r="N29" s="8" t="s">
        <v>2934</v>
      </c>
      <c r="O29" s="144"/>
    </row>
    <row r="30" spans="1:15" ht="17.25" customHeight="1">
      <c r="A30" s="2">
        <v>2</v>
      </c>
      <c r="B30" s="3">
        <v>4</v>
      </c>
      <c r="C30" s="3">
        <v>24</v>
      </c>
      <c r="D30" s="3" t="s">
        <v>75</v>
      </c>
      <c r="E30" s="3"/>
      <c r="F30" s="28" t="s">
        <v>1545</v>
      </c>
      <c r="G30" s="70" t="s">
        <v>1546</v>
      </c>
      <c r="H30" s="21" t="s">
        <v>1547</v>
      </c>
      <c r="I30" s="4" t="s">
        <v>1548</v>
      </c>
      <c r="J30" s="28" t="s">
        <v>28</v>
      </c>
      <c r="K30" s="6">
        <v>150</v>
      </c>
      <c r="L30" s="6"/>
      <c r="M30" s="6">
        <f t="shared" si="0"/>
        <v>150</v>
      </c>
      <c r="N30" s="8">
        <v>618</v>
      </c>
      <c r="O30" s="144"/>
    </row>
    <row r="31" spans="1:15" ht="17.25" customHeight="1">
      <c r="A31" s="2">
        <v>2</v>
      </c>
      <c r="B31" s="3">
        <v>5</v>
      </c>
      <c r="C31" s="3">
        <v>25</v>
      </c>
      <c r="D31" s="3" t="s">
        <v>1539</v>
      </c>
      <c r="E31" s="3"/>
      <c r="F31" s="4"/>
      <c r="G31" s="69" t="s">
        <v>1549</v>
      </c>
      <c r="H31" s="4" t="s">
        <v>175</v>
      </c>
      <c r="I31" s="4" t="s">
        <v>1550</v>
      </c>
      <c r="J31" s="3" t="s">
        <v>1551</v>
      </c>
      <c r="K31" s="6">
        <f>2+5</f>
        <v>7</v>
      </c>
      <c r="L31" s="6"/>
      <c r="M31" s="6">
        <f t="shared" si="0"/>
        <v>7</v>
      </c>
      <c r="N31" s="8" t="s">
        <v>2934</v>
      </c>
      <c r="O31" s="144"/>
    </row>
    <row r="32" spans="1:15" ht="17.25" customHeight="1">
      <c r="A32" s="13"/>
      <c r="B32" s="14"/>
      <c r="C32" s="14"/>
      <c r="D32" s="14"/>
      <c r="E32" s="14"/>
      <c r="F32" s="15"/>
      <c r="G32" s="16"/>
      <c r="H32" s="15"/>
      <c r="I32" s="15"/>
      <c r="J32" s="14"/>
      <c r="K32" s="157">
        <f>SUM(K27:K31)</f>
        <v>175</v>
      </c>
      <c r="L32" s="157">
        <f t="shared" ref="L32:M32" si="3">SUM(L27:L31)</f>
        <v>0</v>
      </c>
      <c r="M32" s="157">
        <f t="shared" si="3"/>
        <v>175</v>
      </c>
      <c r="N32" s="17"/>
      <c r="O32" s="145"/>
    </row>
    <row r="33" spans="1:15" ht="16.5" customHeight="1">
      <c r="A33" s="2">
        <v>3</v>
      </c>
      <c r="B33" s="3">
        <v>1</v>
      </c>
      <c r="C33" s="3">
        <v>26</v>
      </c>
      <c r="D33" s="3"/>
      <c r="E33" s="3" t="s">
        <v>488</v>
      </c>
      <c r="F33" s="4" t="s">
        <v>2257</v>
      </c>
      <c r="G33" s="18" t="s">
        <v>2258</v>
      </c>
      <c r="H33" s="4" t="s">
        <v>2259</v>
      </c>
      <c r="I33" s="4" t="s">
        <v>2260</v>
      </c>
      <c r="J33" s="4" t="s">
        <v>1972</v>
      </c>
      <c r="K33" s="6"/>
      <c r="L33" s="6">
        <v>1500</v>
      </c>
      <c r="M33" s="6">
        <f t="shared" si="0"/>
        <v>1500</v>
      </c>
      <c r="N33" s="8">
        <v>358</v>
      </c>
      <c r="O33" s="144"/>
    </row>
    <row r="34" spans="1:15" ht="16.5" customHeight="1">
      <c r="A34" s="2">
        <v>3</v>
      </c>
      <c r="B34" s="3">
        <v>2</v>
      </c>
      <c r="C34" s="3">
        <v>27</v>
      </c>
      <c r="D34" s="3"/>
      <c r="E34" s="3" t="s">
        <v>488</v>
      </c>
      <c r="F34" s="4" t="s">
        <v>2261</v>
      </c>
      <c r="G34" s="18" t="s">
        <v>2262</v>
      </c>
      <c r="H34" s="4" t="s">
        <v>2263</v>
      </c>
      <c r="I34" s="4" t="s">
        <v>2260</v>
      </c>
      <c r="J34" s="4" t="s">
        <v>1972</v>
      </c>
      <c r="K34" s="6"/>
      <c r="L34" s="6">
        <v>450</v>
      </c>
      <c r="M34" s="6">
        <f t="shared" si="0"/>
        <v>450</v>
      </c>
      <c r="N34" s="8">
        <v>1040</v>
      </c>
      <c r="O34" s="144"/>
    </row>
    <row r="35" spans="1:15" ht="16.5" customHeight="1">
      <c r="A35" s="2">
        <v>3</v>
      </c>
      <c r="B35" s="3">
        <v>3</v>
      </c>
      <c r="C35" s="3">
        <v>28</v>
      </c>
      <c r="D35" s="3"/>
      <c r="E35" s="3" t="s">
        <v>488</v>
      </c>
      <c r="F35" s="4" t="s">
        <v>2264</v>
      </c>
      <c r="G35" s="18" t="s">
        <v>2265</v>
      </c>
      <c r="H35" s="4" t="s">
        <v>2266</v>
      </c>
      <c r="I35" s="4" t="s">
        <v>2260</v>
      </c>
      <c r="J35" s="4" t="s">
        <v>1972</v>
      </c>
      <c r="K35" s="6"/>
      <c r="L35" s="6">
        <v>250</v>
      </c>
      <c r="M35" s="6">
        <f t="shared" si="0"/>
        <v>250</v>
      </c>
      <c r="N35" s="8">
        <v>1690</v>
      </c>
      <c r="O35" s="144"/>
    </row>
    <row r="36" spans="1:15" ht="16.5" customHeight="1">
      <c r="A36" s="2">
        <v>3</v>
      </c>
      <c r="B36" s="3">
        <v>4</v>
      </c>
      <c r="C36" s="3">
        <v>29</v>
      </c>
      <c r="D36" s="3"/>
      <c r="E36" s="3" t="s">
        <v>488</v>
      </c>
      <c r="F36" s="4" t="s">
        <v>2267</v>
      </c>
      <c r="G36" s="18" t="s">
        <v>2268</v>
      </c>
      <c r="H36" s="4" t="s">
        <v>2263</v>
      </c>
      <c r="I36" s="4" t="s">
        <v>2260</v>
      </c>
      <c r="J36" s="4" t="s">
        <v>85</v>
      </c>
      <c r="K36" s="6"/>
      <c r="L36" s="6">
        <v>50</v>
      </c>
      <c r="M36" s="6">
        <f t="shared" si="0"/>
        <v>50</v>
      </c>
      <c r="N36" s="8">
        <v>2460</v>
      </c>
      <c r="O36" s="144"/>
    </row>
    <row r="37" spans="1:15" ht="16.5" customHeight="1">
      <c r="A37" s="2">
        <v>3</v>
      </c>
      <c r="B37" s="3">
        <v>5</v>
      </c>
      <c r="C37" s="3">
        <v>30</v>
      </c>
      <c r="D37" s="3"/>
      <c r="E37" s="3" t="s">
        <v>2072</v>
      </c>
      <c r="F37" s="4" t="s">
        <v>2269</v>
      </c>
      <c r="G37" s="18" t="s">
        <v>2270</v>
      </c>
      <c r="H37" s="4" t="s">
        <v>2271</v>
      </c>
      <c r="I37" s="4" t="s">
        <v>2272</v>
      </c>
      <c r="J37" s="4" t="s">
        <v>1972</v>
      </c>
      <c r="K37" s="6"/>
      <c r="L37" s="6">
        <v>20</v>
      </c>
      <c r="M37" s="6">
        <f t="shared" ref="M37:M68" si="4">K37+L37</f>
        <v>20</v>
      </c>
      <c r="N37" s="8">
        <v>27210</v>
      </c>
      <c r="O37" s="144"/>
    </row>
    <row r="38" spans="1:15" ht="16.5" customHeight="1">
      <c r="A38" s="2">
        <v>3</v>
      </c>
      <c r="B38" s="3">
        <v>6</v>
      </c>
      <c r="C38" s="3">
        <v>31</v>
      </c>
      <c r="D38" s="3"/>
      <c r="E38" s="3" t="s">
        <v>2072</v>
      </c>
      <c r="F38" s="4" t="s">
        <v>2273</v>
      </c>
      <c r="G38" s="18" t="s">
        <v>2274</v>
      </c>
      <c r="H38" s="4" t="s">
        <v>2275</v>
      </c>
      <c r="I38" s="4" t="s">
        <v>2276</v>
      </c>
      <c r="J38" s="4" t="s">
        <v>1972</v>
      </c>
      <c r="K38" s="6"/>
      <c r="L38" s="6">
        <v>10</v>
      </c>
      <c r="M38" s="6">
        <f t="shared" si="4"/>
        <v>10</v>
      </c>
      <c r="N38" s="8">
        <v>112170</v>
      </c>
      <c r="O38" s="144"/>
    </row>
    <row r="39" spans="1:15" ht="16.5" customHeight="1">
      <c r="A39" s="24"/>
      <c r="B39" s="25"/>
      <c r="C39" s="25"/>
      <c r="D39" s="25"/>
      <c r="E39" s="25"/>
      <c r="F39" s="25"/>
      <c r="G39" s="80"/>
      <c r="H39" s="25"/>
      <c r="I39" s="26"/>
      <c r="J39" s="25"/>
      <c r="K39" s="157">
        <f>SUM(K33:K38)</f>
        <v>0</v>
      </c>
      <c r="L39" s="157">
        <f t="shared" ref="L39:M39" si="5">SUM(L33:L38)</f>
        <v>2280</v>
      </c>
      <c r="M39" s="157">
        <f t="shared" si="5"/>
        <v>2280</v>
      </c>
      <c r="N39" s="17"/>
      <c r="O39" s="145"/>
    </row>
    <row r="40" spans="1:15" ht="16.5" customHeight="1">
      <c r="A40" s="2">
        <v>4</v>
      </c>
      <c r="B40" s="3">
        <v>1</v>
      </c>
      <c r="C40" s="3">
        <v>32</v>
      </c>
      <c r="D40" s="3" t="s">
        <v>488</v>
      </c>
      <c r="E40" s="3"/>
      <c r="F40" s="4" t="s">
        <v>1356</v>
      </c>
      <c r="G40" s="18" t="s">
        <v>1357</v>
      </c>
      <c r="H40" s="4" t="s">
        <v>1358</v>
      </c>
      <c r="I40" s="4" t="s">
        <v>1359</v>
      </c>
      <c r="J40" s="22" t="s">
        <v>85</v>
      </c>
      <c r="K40" s="6">
        <v>1000</v>
      </c>
      <c r="L40" s="6"/>
      <c r="M40" s="6">
        <f t="shared" si="4"/>
        <v>1000</v>
      </c>
      <c r="N40" s="8">
        <v>2670</v>
      </c>
      <c r="O40" s="144"/>
    </row>
    <row r="41" spans="1:15" ht="16.5" customHeight="1">
      <c r="A41" s="2">
        <v>4</v>
      </c>
      <c r="B41" s="3">
        <v>2</v>
      </c>
      <c r="C41" s="3">
        <v>33</v>
      </c>
      <c r="D41" s="3" t="s">
        <v>488</v>
      </c>
      <c r="E41" s="3"/>
      <c r="F41" s="52" t="s">
        <v>1360</v>
      </c>
      <c r="G41" s="5" t="s">
        <v>1361</v>
      </c>
      <c r="H41" s="60" t="s">
        <v>1362</v>
      </c>
      <c r="I41" s="44" t="s">
        <v>1363</v>
      </c>
      <c r="J41" s="61" t="s">
        <v>1364</v>
      </c>
      <c r="K41" s="33">
        <v>20</v>
      </c>
      <c r="L41" s="33"/>
      <c r="M41" s="6">
        <f t="shared" si="4"/>
        <v>20</v>
      </c>
      <c r="N41" s="8">
        <v>19200</v>
      </c>
      <c r="O41" s="147" t="s">
        <v>2938</v>
      </c>
    </row>
    <row r="42" spans="1:15" ht="16.5" customHeight="1">
      <c r="A42" s="2">
        <v>4</v>
      </c>
      <c r="B42" s="3">
        <v>3</v>
      </c>
      <c r="C42" s="3">
        <v>34</v>
      </c>
      <c r="D42" s="3" t="s">
        <v>488</v>
      </c>
      <c r="E42" s="3"/>
      <c r="F42" s="52" t="s">
        <v>1365</v>
      </c>
      <c r="G42" s="5" t="s">
        <v>1361</v>
      </c>
      <c r="H42" s="60" t="s">
        <v>1366</v>
      </c>
      <c r="I42" s="44" t="s">
        <v>1363</v>
      </c>
      <c r="J42" s="61" t="s">
        <v>206</v>
      </c>
      <c r="K42" s="33">
        <v>3</v>
      </c>
      <c r="L42" s="33"/>
      <c r="M42" s="6">
        <f t="shared" si="4"/>
        <v>3</v>
      </c>
      <c r="N42" s="8">
        <v>35200</v>
      </c>
      <c r="O42" s="148" t="s">
        <v>2938</v>
      </c>
    </row>
    <row r="43" spans="1:15" ht="16.5" customHeight="1">
      <c r="A43" s="2">
        <v>4</v>
      </c>
      <c r="B43" s="3">
        <v>4</v>
      </c>
      <c r="C43" s="3">
        <v>35</v>
      </c>
      <c r="D43" s="3" t="s">
        <v>488</v>
      </c>
      <c r="E43" s="3"/>
      <c r="F43" s="52" t="s">
        <v>1367</v>
      </c>
      <c r="G43" s="5" t="s">
        <v>1361</v>
      </c>
      <c r="H43" s="60" t="s">
        <v>1368</v>
      </c>
      <c r="I43" s="44" t="s">
        <v>1363</v>
      </c>
      <c r="J43" s="61" t="s">
        <v>206</v>
      </c>
      <c r="K43" s="33">
        <v>3</v>
      </c>
      <c r="L43" s="33"/>
      <c r="M43" s="6">
        <f t="shared" si="4"/>
        <v>3</v>
      </c>
      <c r="N43" s="8">
        <v>38300</v>
      </c>
      <c r="O43" s="148" t="s">
        <v>2938</v>
      </c>
    </row>
    <row r="44" spans="1:15" ht="16.5" customHeight="1">
      <c r="A44" s="2">
        <v>4</v>
      </c>
      <c r="B44" s="3">
        <v>5</v>
      </c>
      <c r="C44" s="3">
        <v>36</v>
      </c>
      <c r="D44" s="3" t="s">
        <v>521</v>
      </c>
      <c r="E44" s="3"/>
      <c r="F44" s="3" t="s">
        <v>1369</v>
      </c>
      <c r="G44" s="29" t="s">
        <v>1370</v>
      </c>
      <c r="H44" s="50" t="s">
        <v>1371</v>
      </c>
      <c r="I44" s="4"/>
      <c r="J44" s="62" t="s">
        <v>1372</v>
      </c>
      <c r="K44" s="6">
        <v>40</v>
      </c>
      <c r="L44" s="6"/>
      <c r="M44" s="6">
        <f t="shared" si="4"/>
        <v>40</v>
      </c>
      <c r="N44" s="8">
        <v>10420</v>
      </c>
      <c r="O44" s="144"/>
    </row>
    <row r="45" spans="1:15" ht="16.5" customHeight="1">
      <c r="A45" s="2">
        <v>4</v>
      </c>
      <c r="B45" s="3">
        <v>6</v>
      </c>
      <c r="C45" s="3">
        <v>37</v>
      </c>
      <c r="D45" s="3" t="s">
        <v>488</v>
      </c>
      <c r="E45" s="3"/>
      <c r="F45" s="4"/>
      <c r="G45" s="63" t="s">
        <v>1373</v>
      </c>
      <c r="H45" s="4" t="s">
        <v>1374</v>
      </c>
      <c r="I45" s="4" t="s">
        <v>1375</v>
      </c>
      <c r="J45" s="22" t="s">
        <v>206</v>
      </c>
      <c r="K45" s="6">
        <v>15</v>
      </c>
      <c r="L45" s="6"/>
      <c r="M45" s="6">
        <f t="shared" si="4"/>
        <v>15</v>
      </c>
      <c r="N45" s="8" t="s">
        <v>2934</v>
      </c>
      <c r="O45" s="144"/>
    </row>
    <row r="46" spans="1:15" ht="16.5" customHeight="1">
      <c r="A46" s="24"/>
      <c r="B46" s="25"/>
      <c r="C46" s="25"/>
      <c r="D46" s="25"/>
      <c r="E46" s="25"/>
      <c r="F46" s="25"/>
      <c r="G46" s="80"/>
      <c r="H46" s="25"/>
      <c r="I46" s="26"/>
      <c r="J46" s="25"/>
      <c r="K46" s="157">
        <f>SUM(K40:K45)</f>
        <v>1081</v>
      </c>
      <c r="L46" s="157">
        <f t="shared" ref="L46:M46" si="6">SUM(L40:L45)</f>
        <v>0</v>
      </c>
      <c r="M46" s="157">
        <f t="shared" si="6"/>
        <v>1081</v>
      </c>
      <c r="N46" s="17"/>
      <c r="O46" s="145"/>
    </row>
    <row r="47" spans="1:15" ht="16.5" customHeight="1">
      <c r="A47" s="2">
        <v>5</v>
      </c>
      <c r="B47" s="3">
        <v>1</v>
      </c>
      <c r="C47" s="3">
        <v>38</v>
      </c>
      <c r="D47" s="3"/>
      <c r="E47" s="3" t="s">
        <v>488</v>
      </c>
      <c r="F47" s="4"/>
      <c r="G47" s="18" t="s">
        <v>2457</v>
      </c>
      <c r="H47" s="4" t="s">
        <v>2458</v>
      </c>
      <c r="I47" s="4" t="s">
        <v>2459</v>
      </c>
      <c r="J47" s="4" t="s">
        <v>2281</v>
      </c>
      <c r="K47" s="6"/>
      <c r="L47" s="6">
        <v>1100</v>
      </c>
      <c r="M47" s="6">
        <f t="shared" si="4"/>
        <v>1100</v>
      </c>
      <c r="N47" s="8" t="s">
        <v>1998</v>
      </c>
      <c r="O47" s="144"/>
    </row>
    <row r="48" spans="1:15" ht="16.5" customHeight="1">
      <c r="A48" s="24"/>
      <c r="B48" s="25"/>
      <c r="C48" s="25"/>
      <c r="D48" s="25"/>
      <c r="E48" s="25"/>
      <c r="F48" s="25"/>
      <c r="G48" s="80"/>
      <c r="H48" s="25"/>
      <c r="I48" s="26"/>
      <c r="J48" s="25"/>
      <c r="K48" s="157">
        <f>K47</f>
        <v>0</v>
      </c>
      <c r="L48" s="157">
        <f t="shared" ref="L48:M48" si="7">L47</f>
        <v>1100</v>
      </c>
      <c r="M48" s="157">
        <f t="shared" si="7"/>
        <v>1100</v>
      </c>
      <c r="N48" s="17"/>
      <c r="O48" s="145"/>
    </row>
    <row r="49" spans="1:15" s="9" customFormat="1" ht="16.5" customHeight="1">
      <c r="A49" s="2">
        <v>6</v>
      </c>
      <c r="B49" s="3">
        <v>1</v>
      </c>
      <c r="C49" s="3">
        <v>39</v>
      </c>
      <c r="D49" s="3" t="s">
        <v>75</v>
      </c>
      <c r="E49" s="3"/>
      <c r="F49" s="4" t="s">
        <v>1204</v>
      </c>
      <c r="G49" s="5" t="s">
        <v>1205</v>
      </c>
      <c r="H49" s="4">
        <v>46221333</v>
      </c>
      <c r="I49" s="3" t="s">
        <v>2864</v>
      </c>
      <c r="J49" s="3" t="s">
        <v>79</v>
      </c>
      <c r="K49" s="6">
        <v>20</v>
      </c>
      <c r="L49" s="6"/>
      <c r="M49" s="6">
        <f t="shared" si="4"/>
        <v>20</v>
      </c>
      <c r="N49" s="8">
        <v>165920</v>
      </c>
      <c r="O49" s="149"/>
    </row>
    <row r="50" spans="1:15" s="9" customFormat="1" ht="16.5" customHeight="1">
      <c r="A50" s="2">
        <v>6</v>
      </c>
      <c r="B50" s="3">
        <v>2</v>
      </c>
      <c r="C50" s="3">
        <v>40</v>
      </c>
      <c r="D50" s="3" t="s">
        <v>75</v>
      </c>
      <c r="E50" s="3"/>
      <c r="F50" s="4" t="s">
        <v>1206</v>
      </c>
      <c r="G50" s="5" t="s">
        <v>1207</v>
      </c>
      <c r="H50" s="4">
        <v>46300223</v>
      </c>
      <c r="I50" s="3" t="s">
        <v>2865</v>
      </c>
      <c r="J50" s="3" t="s">
        <v>79</v>
      </c>
      <c r="K50" s="6">
        <v>3</v>
      </c>
      <c r="L50" s="6"/>
      <c r="M50" s="6">
        <f t="shared" si="4"/>
        <v>3</v>
      </c>
      <c r="N50" s="8">
        <v>280140</v>
      </c>
      <c r="O50" s="149"/>
    </row>
    <row r="51" spans="1:15" s="9" customFormat="1" ht="16.5" customHeight="1">
      <c r="A51" s="2">
        <v>6</v>
      </c>
      <c r="B51" s="3">
        <v>3</v>
      </c>
      <c r="C51" s="3">
        <v>41</v>
      </c>
      <c r="D51" s="3" t="s">
        <v>14</v>
      </c>
      <c r="E51" s="3"/>
      <c r="F51" s="4" t="s">
        <v>1208</v>
      </c>
      <c r="G51" s="5" t="s">
        <v>1209</v>
      </c>
      <c r="H51" s="4" t="s">
        <v>84</v>
      </c>
      <c r="I51" s="3" t="s">
        <v>2866</v>
      </c>
      <c r="J51" s="3" t="s">
        <v>35</v>
      </c>
      <c r="K51" s="6">
        <v>10</v>
      </c>
      <c r="L51" s="6"/>
      <c r="M51" s="6">
        <f t="shared" si="4"/>
        <v>10</v>
      </c>
      <c r="N51" s="8">
        <v>45730</v>
      </c>
      <c r="O51" s="149"/>
    </row>
    <row r="52" spans="1:15" s="9" customFormat="1" ht="16.5" customHeight="1">
      <c r="A52" s="2">
        <v>6</v>
      </c>
      <c r="B52" s="3">
        <v>4</v>
      </c>
      <c r="C52" s="3">
        <v>42</v>
      </c>
      <c r="D52" s="3" t="s">
        <v>14</v>
      </c>
      <c r="E52" s="3"/>
      <c r="F52" s="4" t="s">
        <v>1210</v>
      </c>
      <c r="G52" s="5" t="s">
        <v>1211</v>
      </c>
      <c r="H52" s="4" t="s">
        <v>1212</v>
      </c>
      <c r="I52" s="3" t="s">
        <v>2867</v>
      </c>
      <c r="J52" s="3" t="s">
        <v>35</v>
      </c>
      <c r="K52" s="6">
        <v>5</v>
      </c>
      <c r="L52" s="6"/>
      <c r="M52" s="6">
        <f t="shared" si="4"/>
        <v>5</v>
      </c>
      <c r="N52" s="8">
        <v>60500</v>
      </c>
      <c r="O52" s="149"/>
    </row>
    <row r="53" spans="1:15" ht="16.5" customHeight="1">
      <c r="A53" s="24"/>
      <c r="B53" s="25"/>
      <c r="C53" s="25"/>
      <c r="D53" s="25"/>
      <c r="E53" s="25"/>
      <c r="F53" s="25"/>
      <c r="G53" s="80"/>
      <c r="H53" s="25"/>
      <c r="I53" s="26"/>
      <c r="J53" s="25"/>
      <c r="K53" s="157">
        <f>SUM(K49:K52)</f>
        <v>38</v>
      </c>
      <c r="L53" s="157">
        <f t="shared" ref="L53:M53" si="8">SUM(L49:L52)</f>
        <v>0</v>
      </c>
      <c r="M53" s="157">
        <f t="shared" si="8"/>
        <v>38</v>
      </c>
      <c r="N53" s="17"/>
      <c r="O53" s="145"/>
    </row>
    <row r="54" spans="1:15" ht="16.5" customHeight="1">
      <c r="A54" s="45">
        <v>7</v>
      </c>
      <c r="B54" s="3">
        <v>1</v>
      </c>
      <c r="C54" s="31">
        <v>43</v>
      </c>
      <c r="D54" s="31" t="s">
        <v>75</v>
      </c>
      <c r="E54" s="31"/>
      <c r="F54" s="76" t="s">
        <v>1635</v>
      </c>
      <c r="G54" s="36" t="s">
        <v>1636</v>
      </c>
      <c r="H54" s="43" t="s">
        <v>1637</v>
      </c>
      <c r="I54" s="77" t="s">
        <v>1638</v>
      </c>
      <c r="J54" s="43" t="s">
        <v>28</v>
      </c>
      <c r="K54" s="78">
        <v>30</v>
      </c>
      <c r="L54" s="78"/>
      <c r="M54" s="6">
        <f t="shared" si="4"/>
        <v>30</v>
      </c>
      <c r="N54" s="7">
        <v>3670</v>
      </c>
      <c r="O54" s="149"/>
    </row>
    <row r="55" spans="1:15" ht="16.5" customHeight="1">
      <c r="A55" s="45">
        <v>7</v>
      </c>
      <c r="B55" s="3">
        <v>2</v>
      </c>
      <c r="C55" s="31">
        <v>44</v>
      </c>
      <c r="D55" s="31" t="s">
        <v>75</v>
      </c>
      <c r="E55" s="31"/>
      <c r="F55" s="20"/>
      <c r="G55" s="36" t="s">
        <v>1639</v>
      </c>
      <c r="H55" s="43">
        <v>6872130</v>
      </c>
      <c r="I55" s="77" t="s">
        <v>1638</v>
      </c>
      <c r="J55" s="43" t="s">
        <v>674</v>
      </c>
      <c r="K55" s="79">
        <v>2</v>
      </c>
      <c r="L55" s="79"/>
      <c r="M55" s="6">
        <f t="shared" si="4"/>
        <v>2</v>
      </c>
      <c r="N55" s="8" t="s">
        <v>2934</v>
      </c>
      <c r="O55" s="149"/>
    </row>
    <row r="56" spans="1:15" ht="16.5" customHeight="1">
      <c r="A56" s="45">
        <v>7</v>
      </c>
      <c r="B56" s="3">
        <v>3</v>
      </c>
      <c r="C56" s="31">
        <v>45</v>
      </c>
      <c r="D56" s="31" t="s">
        <v>75</v>
      </c>
      <c r="E56" s="31"/>
      <c r="F56" s="20"/>
      <c r="G56" s="36" t="s">
        <v>1640</v>
      </c>
      <c r="H56" s="77">
        <v>6871980</v>
      </c>
      <c r="I56" s="77" t="s">
        <v>1638</v>
      </c>
      <c r="J56" s="43" t="s">
        <v>28</v>
      </c>
      <c r="K56" s="79">
        <v>10</v>
      </c>
      <c r="L56" s="79"/>
      <c r="M56" s="6">
        <f t="shared" si="4"/>
        <v>10</v>
      </c>
      <c r="N56" s="8" t="s">
        <v>2934</v>
      </c>
      <c r="O56" s="149"/>
    </row>
    <row r="57" spans="1:15" ht="16.5" customHeight="1">
      <c r="A57" s="45">
        <v>7</v>
      </c>
      <c r="B57" s="3">
        <v>4</v>
      </c>
      <c r="C57" s="31">
        <v>46</v>
      </c>
      <c r="D57" s="31" t="s">
        <v>75</v>
      </c>
      <c r="E57" s="31"/>
      <c r="F57" s="20"/>
      <c r="G57" s="36" t="s">
        <v>1641</v>
      </c>
      <c r="H57" s="77" t="s">
        <v>1642</v>
      </c>
      <c r="I57" s="77" t="s">
        <v>1638</v>
      </c>
      <c r="J57" s="43" t="s">
        <v>28</v>
      </c>
      <c r="K57" s="79">
        <v>2</v>
      </c>
      <c r="L57" s="79"/>
      <c r="M57" s="6">
        <f t="shared" si="4"/>
        <v>2</v>
      </c>
      <c r="N57" s="8" t="s">
        <v>2934</v>
      </c>
      <c r="O57" s="149"/>
    </row>
    <row r="58" spans="1:15" ht="16.5" customHeight="1">
      <c r="A58" s="24"/>
      <c r="B58" s="25"/>
      <c r="C58" s="25"/>
      <c r="D58" s="25"/>
      <c r="E58" s="25"/>
      <c r="F58" s="25"/>
      <c r="G58" s="80"/>
      <c r="H58" s="25"/>
      <c r="I58" s="26"/>
      <c r="J58" s="25"/>
      <c r="K58" s="157">
        <f>SUM(K54:K57)</f>
        <v>44</v>
      </c>
      <c r="L58" s="157">
        <f t="shared" ref="L58:M58" si="9">SUM(L54:L57)</f>
        <v>0</v>
      </c>
      <c r="M58" s="157">
        <f t="shared" si="9"/>
        <v>44</v>
      </c>
      <c r="N58" s="17"/>
      <c r="O58" s="145"/>
    </row>
    <row r="59" spans="1:15" ht="16.5" customHeight="1">
      <c r="A59" s="2">
        <v>8</v>
      </c>
      <c r="B59" s="3">
        <v>1</v>
      </c>
      <c r="C59" s="3">
        <v>47</v>
      </c>
      <c r="D59" s="3"/>
      <c r="E59" s="3" t="s">
        <v>488</v>
      </c>
      <c r="F59" s="4" t="s">
        <v>2091</v>
      </c>
      <c r="G59" s="18" t="s">
        <v>2092</v>
      </c>
      <c r="H59" s="4" t="s">
        <v>2093</v>
      </c>
      <c r="I59" s="4" t="s">
        <v>2094</v>
      </c>
      <c r="J59" s="4" t="s">
        <v>85</v>
      </c>
      <c r="K59" s="131"/>
      <c r="L59" s="131">
        <v>252</v>
      </c>
      <c r="M59" s="131">
        <f t="shared" si="4"/>
        <v>252</v>
      </c>
      <c r="N59" s="132">
        <v>3870</v>
      </c>
      <c r="O59" s="146"/>
    </row>
    <row r="60" spans="1:15" ht="16.5" customHeight="1">
      <c r="A60" s="2">
        <v>8</v>
      </c>
      <c r="B60" s="3">
        <v>2</v>
      </c>
      <c r="C60" s="3">
        <v>48</v>
      </c>
      <c r="D60" s="3"/>
      <c r="E60" s="3" t="s">
        <v>488</v>
      </c>
      <c r="F60" s="4" t="s">
        <v>2095</v>
      </c>
      <c r="G60" s="18" t="s">
        <v>2096</v>
      </c>
      <c r="H60" s="4" t="s">
        <v>2097</v>
      </c>
      <c r="I60" s="4" t="s">
        <v>2094</v>
      </c>
      <c r="J60" s="4" t="s">
        <v>85</v>
      </c>
      <c r="K60" s="6"/>
      <c r="L60" s="6">
        <v>180</v>
      </c>
      <c r="M60" s="6">
        <f t="shared" si="4"/>
        <v>180</v>
      </c>
      <c r="N60" s="8">
        <v>4100</v>
      </c>
      <c r="O60" s="144"/>
    </row>
    <row r="61" spans="1:15" ht="36" customHeight="1">
      <c r="A61" s="2">
        <v>8</v>
      </c>
      <c r="B61" s="3">
        <v>3</v>
      </c>
      <c r="C61" s="3">
        <v>49</v>
      </c>
      <c r="D61" s="3"/>
      <c r="E61" s="3" t="s">
        <v>488</v>
      </c>
      <c r="F61" s="4" t="s">
        <v>2098</v>
      </c>
      <c r="G61" s="18" t="s">
        <v>2099</v>
      </c>
      <c r="H61" s="39" t="s">
        <v>2917</v>
      </c>
      <c r="I61" s="4" t="s">
        <v>2094</v>
      </c>
      <c r="J61" s="4" t="s">
        <v>85</v>
      </c>
      <c r="K61" s="6"/>
      <c r="L61" s="6">
        <f>108+108+72</f>
        <v>288</v>
      </c>
      <c r="M61" s="6">
        <f t="shared" si="4"/>
        <v>288</v>
      </c>
      <c r="N61" s="8">
        <v>4100</v>
      </c>
      <c r="O61" s="144" t="s">
        <v>2100</v>
      </c>
    </row>
    <row r="62" spans="1:15" ht="24" customHeight="1">
      <c r="A62" s="2">
        <v>8</v>
      </c>
      <c r="B62" s="3">
        <v>4</v>
      </c>
      <c r="C62" s="3">
        <v>50</v>
      </c>
      <c r="D62" s="3"/>
      <c r="E62" s="3" t="s">
        <v>488</v>
      </c>
      <c r="F62" s="4" t="s">
        <v>2101</v>
      </c>
      <c r="G62" s="18" t="s">
        <v>2102</v>
      </c>
      <c r="H62" s="39" t="s">
        <v>2918</v>
      </c>
      <c r="I62" s="4" t="s">
        <v>2094</v>
      </c>
      <c r="J62" s="4" t="s">
        <v>85</v>
      </c>
      <c r="K62" s="6"/>
      <c r="L62" s="6">
        <f>108+108</f>
        <v>216</v>
      </c>
      <c r="M62" s="6">
        <f t="shared" si="4"/>
        <v>216</v>
      </c>
      <c r="N62" s="8">
        <v>3700</v>
      </c>
      <c r="O62" s="144" t="s">
        <v>2103</v>
      </c>
    </row>
    <row r="63" spans="1:15" ht="16.5" customHeight="1">
      <c r="A63" s="2">
        <v>8</v>
      </c>
      <c r="B63" s="3">
        <v>5</v>
      </c>
      <c r="C63" s="3">
        <v>51</v>
      </c>
      <c r="D63" s="3"/>
      <c r="E63" s="3" t="s">
        <v>488</v>
      </c>
      <c r="F63" s="4" t="s">
        <v>2104</v>
      </c>
      <c r="G63" s="18" t="s">
        <v>2105</v>
      </c>
      <c r="H63" s="4" t="s">
        <v>2106</v>
      </c>
      <c r="I63" s="4" t="s">
        <v>2094</v>
      </c>
      <c r="J63" s="4" t="s">
        <v>85</v>
      </c>
      <c r="K63" s="6"/>
      <c r="L63" s="6">
        <v>216</v>
      </c>
      <c r="M63" s="6">
        <f t="shared" si="4"/>
        <v>216</v>
      </c>
      <c r="N63" s="8">
        <v>3700</v>
      </c>
      <c r="O63" s="144"/>
    </row>
    <row r="64" spans="1:15" ht="16.5" customHeight="1">
      <c r="A64" s="2">
        <v>8</v>
      </c>
      <c r="B64" s="3">
        <v>6</v>
      </c>
      <c r="C64" s="3">
        <v>52</v>
      </c>
      <c r="D64" s="3"/>
      <c r="E64" s="3" t="s">
        <v>488</v>
      </c>
      <c r="F64" s="4" t="s">
        <v>2107</v>
      </c>
      <c r="G64" s="18" t="s">
        <v>2108</v>
      </c>
      <c r="H64" s="4" t="s">
        <v>2109</v>
      </c>
      <c r="I64" s="4" t="s">
        <v>2094</v>
      </c>
      <c r="J64" s="4" t="s">
        <v>85</v>
      </c>
      <c r="K64" s="6"/>
      <c r="L64" s="6">
        <v>72</v>
      </c>
      <c r="M64" s="6">
        <f t="shared" si="4"/>
        <v>72</v>
      </c>
      <c r="N64" s="8">
        <v>4080</v>
      </c>
      <c r="O64" s="144"/>
    </row>
    <row r="65" spans="1:15" ht="16.5" customHeight="1">
      <c r="A65" s="2">
        <v>8</v>
      </c>
      <c r="B65" s="3">
        <v>7</v>
      </c>
      <c r="C65" s="3">
        <v>53</v>
      </c>
      <c r="D65" s="3"/>
      <c r="E65" s="3" t="s">
        <v>488</v>
      </c>
      <c r="F65" s="4" t="s">
        <v>2110</v>
      </c>
      <c r="G65" s="18" t="s">
        <v>2111</v>
      </c>
      <c r="H65" s="4" t="s">
        <v>2112</v>
      </c>
      <c r="I65" s="4" t="s">
        <v>2094</v>
      </c>
      <c r="J65" s="4" t="s">
        <v>85</v>
      </c>
      <c r="K65" s="6"/>
      <c r="L65" s="6">
        <v>36</v>
      </c>
      <c r="M65" s="6">
        <f t="shared" si="4"/>
        <v>36</v>
      </c>
      <c r="N65" s="8">
        <v>4080</v>
      </c>
      <c r="O65" s="144"/>
    </row>
    <row r="66" spans="1:15" ht="16.5" customHeight="1">
      <c r="A66" s="24"/>
      <c r="B66" s="25"/>
      <c r="C66" s="25"/>
      <c r="D66" s="25"/>
      <c r="E66" s="25"/>
      <c r="F66" s="25"/>
      <c r="G66" s="80"/>
      <c r="H66" s="25"/>
      <c r="I66" s="26"/>
      <c r="J66" s="25"/>
      <c r="K66" s="157">
        <f>SUM(K59:K65)</f>
        <v>0</v>
      </c>
      <c r="L66" s="157">
        <f t="shared" ref="L66:M66" si="10">SUM(L59:L65)</f>
        <v>1260</v>
      </c>
      <c r="M66" s="157">
        <f t="shared" si="10"/>
        <v>1260</v>
      </c>
      <c r="N66" s="17"/>
      <c r="O66" s="145"/>
    </row>
    <row r="67" spans="1:15" ht="16.5" customHeight="1">
      <c r="A67" s="2">
        <v>9</v>
      </c>
      <c r="B67" s="3">
        <v>1</v>
      </c>
      <c r="C67" s="3">
        <v>54</v>
      </c>
      <c r="D67" s="3" t="s">
        <v>2911</v>
      </c>
      <c r="E67" s="3"/>
      <c r="F67" s="4" t="s">
        <v>1429</v>
      </c>
      <c r="G67" s="18" t="s">
        <v>1430</v>
      </c>
      <c r="H67" s="4" t="s">
        <v>396</v>
      </c>
      <c r="I67" s="4" t="s">
        <v>67</v>
      </c>
      <c r="J67" s="4" t="s">
        <v>85</v>
      </c>
      <c r="K67" s="6">
        <v>300</v>
      </c>
      <c r="L67" s="6"/>
      <c r="M67" s="6">
        <f t="shared" si="4"/>
        <v>300</v>
      </c>
      <c r="N67" s="8">
        <v>2050</v>
      </c>
      <c r="O67" s="144"/>
    </row>
    <row r="68" spans="1:15" ht="16.5" customHeight="1">
      <c r="A68" s="2">
        <v>9</v>
      </c>
      <c r="B68" s="3">
        <v>2</v>
      </c>
      <c r="C68" s="3">
        <v>55</v>
      </c>
      <c r="D68" s="3" t="s">
        <v>2075</v>
      </c>
      <c r="E68" s="3"/>
      <c r="F68" s="4" t="s">
        <v>1431</v>
      </c>
      <c r="G68" s="18" t="s">
        <v>1432</v>
      </c>
      <c r="H68" s="4" t="s">
        <v>396</v>
      </c>
      <c r="I68" s="4" t="s">
        <v>67</v>
      </c>
      <c r="J68" s="4" t="s">
        <v>85</v>
      </c>
      <c r="K68" s="6">
        <v>100</v>
      </c>
      <c r="L68" s="6"/>
      <c r="M68" s="6">
        <f t="shared" si="4"/>
        <v>100</v>
      </c>
      <c r="N68" s="8">
        <v>4120</v>
      </c>
      <c r="O68" s="144"/>
    </row>
    <row r="69" spans="1:15" ht="16.5" customHeight="1">
      <c r="A69" s="2">
        <v>9</v>
      </c>
      <c r="B69" s="3">
        <v>3</v>
      </c>
      <c r="C69" s="3">
        <v>56</v>
      </c>
      <c r="D69" s="3" t="s">
        <v>2911</v>
      </c>
      <c r="E69" s="3"/>
      <c r="F69" s="4" t="s">
        <v>1433</v>
      </c>
      <c r="G69" s="18" t="s">
        <v>1434</v>
      </c>
      <c r="H69" s="4" t="s">
        <v>396</v>
      </c>
      <c r="I69" s="4" t="s">
        <v>67</v>
      </c>
      <c r="J69" s="4" t="s">
        <v>85</v>
      </c>
      <c r="K69" s="6">
        <v>250</v>
      </c>
      <c r="L69" s="6"/>
      <c r="M69" s="6">
        <f t="shared" ref="M69:M99" si="11">K69+L69</f>
        <v>250</v>
      </c>
      <c r="N69" s="8">
        <v>4120</v>
      </c>
      <c r="O69" s="144"/>
    </row>
    <row r="70" spans="1:15" ht="24" customHeight="1">
      <c r="A70" s="2">
        <v>9</v>
      </c>
      <c r="B70" s="3">
        <v>4</v>
      </c>
      <c r="C70" s="3">
        <v>57</v>
      </c>
      <c r="D70" s="3" t="s">
        <v>2911</v>
      </c>
      <c r="E70" s="3" t="s">
        <v>1705</v>
      </c>
      <c r="F70" s="4" t="s">
        <v>1435</v>
      </c>
      <c r="G70" s="63" t="s">
        <v>2919</v>
      </c>
      <c r="H70" s="4" t="s">
        <v>396</v>
      </c>
      <c r="I70" s="4" t="s">
        <v>67</v>
      </c>
      <c r="J70" s="4" t="s">
        <v>85</v>
      </c>
      <c r="K70" s="6">
        <v>150</v>
      </c>
      <c r="L70" s="6">
        <v>200</v>
      </c>
      <c r="M70" s="6">
        <f t="shared" si="11"/>
        <v>350</v>
      </c>
      <c r="N70" s="8">
        <v>4120</v>
      </c>
      <c r="O70" s="144"/>
    </row>
    <row r="71" spans="1:15" ht="16.5" customHeight="1">
      <c r="A71" s="2">
        <v>9</v>
      </c>
      <c r="B71" s="3">
        <v>5</v>
      </c>
      <c r="C71" s="3">
        <v>58</v>
      </c>
      <c r="D71" s="3" t="s">
        <v>2075</v>
      </c>
      <c r="E71" s="3" t="s">
        <v>2123</v>
      </c>
      <c r="F71" s="4" t="s">
        <v>1436</v>
      </c>
      <c r="G71" s="18" t="s">
        <v>1437</v>
      </c>
      <c r="H71" s="4" t="s">
        <v>1438</v>
      </c>
      <c r="I71" s="4" t="s">
        <v>67</v>
      </c>
      <c r="J71" s="4" t="s">
        <v>85</v>
      </c>
      <c r="K71" s="6">
        <v>30</v>
      </c>
      <c r="L71" s="6">
        <v>5</v>
      </c>
      <c r="M71" s="6">
        <f t="shared" si="11"/>
        <v>35</v>
      </c>
      <c r="N71" s="8">
        <v>9290</v>
      </c>
      <c r="O71" s="144"/>
    </row>
    <row r="72" spans="1:15" ht="16.5" customHeight="1">
      <c r="A72" s="2">
        <v>9</v>
      </c>
      <c r="B72" s="3">
        <v>6</v>
      </c>
      <c r="C72" s="3">
        <v>59</v>
      </c>
      <c r="D72" s="3" t="s">
        <v>2911</v>
      </c>
      <c r="E72" s="3"/>
      <c r="F72" s="4" t="s">
        <v>1439</v>
      </c>
      <c r="G72" s="18" t="s">
        <v>1440</v>
      </c>
      <c r="H72" s="4" t="s">
        <v>1441</v>
      </c>
      <c r="I72" s="4" t="s">
        <v>67</v>
      </c>
      <c r="J72" s="4" t="s">
        <v>85</v>
      </c>
      <c r="K72" s="6">
        <v>5</v>
      </c>
      <c r="L72" s="6"/>
      <c r="M72" s="6">
        <f t="shared" si="11"/>
        <v>5</v>
      </c>
      <c r="N72" s="8">
        <v>8050</v>
      </c>
      <c r="O72" s="144"/>
    </row>
    <row r="73" spans="1:15" ht="16.5" customHeight="1">
      <c r="A73" s="2">
        <v>9</v>
      </c>
      <c r="B73" s="3">
        <v>7</v>
      </c>
      <c r="C73" s="3">
        <v>60</v>
      </c>
      <c r="D73" s="3" t="s">
        <v>2911</v>
      </c>
      <c r="E73" s="3"/>
      <c r="F73" s="4" t="s">
        <v>1442</v>
      </c>
      <c r="G73" s="18" t="s">
        <v>1443</v>
      </c>
      <c r="H73" s="4" t="s">
        <v>1444</v>
      </c>
      <c r="I73" s="4" t="s">
        <v>67</v>
      </c>
      <c r="J73" s="4" t="s">
        <v>85</v>
      </c>
      <c r="K73" s="6">
        <v>100</v>
      </c>
      <c r="L73" s="6"/>
      <c r="M73" s="6">
        <f t="shared" si="11"/>
        <v>100</v>
      </c>
      <c r="N73" s="8">
        <v>3390</v>
      </c>
      <c r="O73" s="144"/>
    </row>
    <row r="74" spans="1:15" ht="16.5" customHeight="1">
      <c r="A74" s="2">
        <v>9</v>
      </c>
      <c r="B74" s="3">
        <v>8</v>
      </c>
      <c r="C74" s="3">
        <v>61</v>
      </c>
      <c r="D74" s="3"/>
      <c r="E74" s="3" t="s">
        <v>488</v>
      </c>
      <c r="F74" s="4" t="s">
        <v>2130</v>
      </c>
      <c r="G74" s="18" t="s">
        <v>2129</v>
      </c>
      <c r="H74" s="4" t="s">
        <v>84</v>
      </c>
      <c r="I74" s="4" t="s">
        <v>2124</v>
      </c>
      <c r="J74" s="4" t="s">
        <v>85</v>
      </c>
      <c r="K74" s="6"/>
      <c r="L74" s="6">
        <v>1</v>
      </c>
      <c r="M74" s="6">
        <f t="shared" si="11"/>
        <v>1</v>
      </c>
      <c r="N74" s="8">
        <v>5380</v>
      </c>
      <c r="O74" s="144"/>
    </row>
    <row r="75" spans="1:15" ht="16.5" customHeight="1">
      <c r="A75" s="2">
        <v>9</v>
      </c>
      <c r="B75" s="3">
        <v>9</v>
      </c>
      <c r="C75" s="3">
        <v>62</v>
      </c>
      <c r="D75" s="3"/>
      <c r="E75" s="3" t="s">
        <v>488</v>
      </c>
      <c r="F75" s="4" t="s">
        <v>2128</v>
      </c>
      <c r="G75" s="18" t="s">
        <v>2127</v>
      </c>
      <c r="H75" s="4" t="s">
        <v>84</v>
      </c>
      <c r="I75" s="4" t="s">
        <v>2124</v>
      </c>
      <c r="J75" s="4" t="s">
        <v>85</v>
      </c>
      <c r="K75" s="6"/>
      <c r="L75" s="6">
        <v>200</v>
      </c>
      <c r="M75" s="6">
        <f t="shared" si="11"/>
        <v>200</v>
      </c>
      <c r="N75" s="8">
        <v>2050</v>
      </c>
      <c r="O75" s="144"/>
    </row>
    <row r="76" spans="1:15" ht="16.5" customHeight="1">
      <c r="A76" s="2">
        <v>9</v>
      </c>
      <c r="B76" s="3">
        <v>10</v>
      </c>
      <c r="C76" s="3">
        <v>63</v>
      </c>
      <c r="D76" s="3"/>
      <c r="E76" s="3" t="s">
        <v>488</v>
      </c>
      <c r="F76" s="4" t="s">
        <v>2126</v>
      </c>
      <c r="G76" s="18" t="s">
        <v>2125</v>
      </c>
      <c r="H76" s="4" t="s">
        <v>84</v>
      </c>
      <c r="I76" s="4" t="s">
        <v>2124</v>
      </c>
      <c r="J76" s="4" t="s">
        <v>85</v>
      </c>
      <c r="K76" s="6"/>
      <c r="L76" s="6">
        <v>100</v>
      </c>
      <c r="M76" s="6">
        <f t="shared" si="11"/>
        <v>100</v>
      </c>
      <c r="N76" s="8">
        <v>4770</v>
      </c>
      <c r="O76" s="144"/>
    </row>
    <row r="77" spans="1:15" ht="16.5" customHeight="1">
      <c r="A77" s="2">
        <v>9</v>
      </c>
      <c r="B77" s="3">
        <v>11</v>
      </c>
      <c r="C77" s="3">
        <v>64</v>
      </c>
      <c r="D77" s="3" t="s">
        <v>2912</v>
      </c>
      <c r="E77" s="3"/>
      <c r="F77" s="4" t="s">
        <v>1445</v>
      </c>
      <c r="G77" s="18" t="s">
        <v>1446</v>
      </c>
      <c r="H77" s="4" t="s">
        <v>1447</v>
      </c>
      <c r="I77" s="4" t="s">
        <v>67</v>
      </c>
      <c r="J77" s="4" t="s">
        <v>85</v>
      </c>
      <c r="K77" s="6">
        <v>6</v>
      </c>
      <c r="L77" s="6"/>
      <c r="M77" s="6">
        <f t="shared" si="11"/>
        <v>6</v>
      </c>
      <c r="N77" s="8" t="s">
        <v>19</v>
      </c>
      <c r="O77" s="144"/>
    </row>
    <row r="78" spans="1:15" ht="16.5" customHeight="1">
      <c r="A78" s="2">
        <v>9</v>
      </c>
      <c r="B78" s="3">
        <v>12</v>
      </c>
      <c r="C78" s="3">
        <v>65</v>
      </c>
      <c r="D78" s="3" t="s">
        <v>2911</v>
      </c>
      <c r="E78" s="3"/>
      <c r="F78" s="4" t="s">
        <v>1448</v>
      </c>
      <c r="G78" s="18" t="s">
        <v>1449</v>
      </c>
      <c r="H78" s="4" t="s">
        <v>1447</v>
      </c>
      <c r="I78" s="4" t="s">
        <v>67</v>
      </c>
      <c r="J78" s="4" t="s">
        <v>85</v>
      </c>
      <c r="K78" s="6">
        <v>12</v>
      </c>
      <c r="L78" s="6"/>
      <c r="M78" s="6">
        <f t="shared" si="11"/>
        <v>12</v>
      </c>
      <c r="N78" s="8" t="s">
        <v>19</v>
      </c>
      <c r="O78" s="144"/>
    </row>
    <row r="79" spans="1:15" ht="16.5" customHeight="1">
      <c r="A79" s="13"/>
      <c r="B79" s="14"/>
      <c r="C79" s="14"/>
      <c r="D79" s="14"/>
      <c r="E79" s="14"/>
      <c r="F79" s="15"/>
      <c r="G79" s="16"/>
      <c r="H79" s="15"/>
      <c r="I79" s="15"/>
      <c r="J79" s="14"/>
      <c r="K79" s="157">
        <f>SUM(K67:K78)</f>
        <v>953</v>
      </c>
      <c r="L79" s="157">
        <f t="shared" ref="L79:M79" si="12">SUM(L67:L78)</f>
        <v>506</v>
      </c>
      <c r="M79" s="157">
        <f t="shared" si="12"/>
        <v>1459</v>
      </c>
      <c r="N79" s="17"/>
      <c r="O79" s="145"/>
    </row>
    <row r="80" spans="1:15" ht="16.5" customHeight="1">
      <c r="A80" s="45">
        <v>10</v>
      </c>
      <c r="B80" s="31">
        <v>1</v>
      </c>
      <c r="C80" s="31">
        <v>66</v>
      </c>
      <c r="D80" s="3" t="s">
        <v>1065</v>
      </c>
      <c r="E80" s="3"/>
      <c r="F80" s="35"/>
      <c r="G80" s="5" t="s">
        <v>1574</v>
      </c>
      <c r="H80" s="4" t="s">
        <v>1575</v>
      </c>
      <c r="I80" s="4" t="s">
        <v>1576</v>
      </c>
      <c r="J80" s="4" t="s">
        <v>1577</v>
      </c>
      <c r="K80" s="6">
        <v>100</v>
      </c>
      <c r="L80" s="6"/>
      <c r="M80" s="6">
        <f t="shared" si="11"/>
        <v>100</v>
      </c>
      <c r="N80" s="8" t="s">
        <v>2934</v>
      </c>
      <c r="O80" s="144"/>
    </row>
    <row r="81" spans="1:15" ht="16.5" customHeight="1">
      <c r="A81" s="13"/>
      <c r="B81" s="14"/>
      <c r="C81" s="14"/>
      <c r="D81" s="14"/>
      <c r="E81" s="14"/>
      <c r="F81" s="15"/>
      <c r="G81" s="16"/>
      <c r="H81" s="15"/>
      <c r="I81" s="15"/>
      <c r="J81" s="14"/>
      <c r="K81" s="157">
        <f>SUM(K80)</f>
        <v>100</v>
      </c>
      <c r="L81" s="157">
        <f t="shared" ref="L81:M81" si="13">SUM(L80)</f>
        <v>0</v>
      </c>
      <c r="M81" s="157">
        <f t="shared" si="13"/>
        <v>100</v>
      </c>
      <c r="N81" s="17"/>
      <c r="O81" s="145"/>
    </row>
    <row r="82" spans="1:15" ht="16.5" customHeight="1">
      <c r="A82" s="81">
        <v>11</v>
      </c>
      <c r="B82" s="77">
        <v>1</v>
      </c>
      <c r="C82" s="77">
        <v>67</v>
      </c>
      <c r="D82" s="77" t="s">
        <v>1679</v>
      </c>
      <c r="E82" s="77"/>
      <c r="F82" s="100"/>
      <c r="G82" s="82" t="s">
        <v>1680</v>
      </c>
      <c r="H82" s="83" t="s">
        <v>84</v>
      </c>
      <c r="I82" s="83" t="s">
        <v>1681</v>
      </c>
      <c r="J82" s="84" t="s">
        <v>1682</v>
      </c>
      <c r="K82" s="85">
        <v>12</v>
      </c>
      <c r="L82" s="85"/>
      <c r="M82" s="6">
        <f t="shared" si="11"/>
        <v>12</v>
      </c>
      <c r="N82" s="8" t="s">
        <v>2934</v>
      </c>
      <c r="O82" s="144"/>
    </row>
    <row r="83" spans="1:15" ht="16.5" customHeight="1">
      <c r="A83" s="81">
        <v>11</v>
      </c>
      <c r="B83" s="77">
        <v>2</v>
      </c>
      <c r="C83" s="77">
        <v>68</v>
      </c>
      <c r="D83" s="77" t="s">
        <v>1679</v>
      </c>
      <c r="E83" s="77"/>
      <c r="F83" s="100"/>
      <c r="G83" s="86" t="s">
        <v>1683</v>
      </c>
      <c r="H83" s="87" t="s">
        <v>1684</v>
      </c>
      <c r="I83" s="87" t="s">
        <v>1685</v>
      </c>
      <c r="J83" s="87" t="s">
        <v>85</v>
      </c>
      <c r="K83" s="88">
        <v>50</v>
      </c>
      <c r="L83" s="88"/>
      <c r="M83" s="6">
        <f t="shared" si="11"/>
        <v>50</v>
      </c>
      <c r="N83" s="8" t="s">
        <v>2934</v>
      </c>
      <c r="O83" s="144"/>
    </row>
    <row r="84" spans="1:15" ht="16.5" customHeight="1">
      <c r="A84" s="81">
        <v>11</v>
      </c>
      <c r="B84" s="77">
        <v>3</v>
      </c>
      <c r="C84" s="77">
        <v>69</v>
      </c>
      <c r="D84" s="77" t="s">
        <v>1679</v>
      </c>
      <c r="E84" s="77"/>
      <c r="F84" s="100"/>
      <c r="G84" s="86" t="s">
        <v>1686</v>
      </c>
      <c r="H84" s="87" t="s">
        <v>1687</v>
      </c>
      <c r="I84" s="87" t="s">
        <v>1685</v>
      </c>
      <c r="J84" s="87" t="s">
        <v>85</v>
      </c>
      <c r="K84" s="88">
        <v>50</v>
      </c>
      <c r="L84" s="88"/>
      <c r="M84" s="6">
        <f t="shared" si="11"/>
        <v>50</v>
      </c>
      <c r="N84" s="8" t="s">
        <v>2934</v>
      </c>
      <c r="O84" s="144"/>
    </row>
    <row r="85" spans="1:15" ht="16.5" customHeight="1">
      <c r="A85" s="24"/>
      <c r="B85" s="25"/>
      <c r="C85" s="25"/>
      <c r="D85" s="25"/>
      <c r="E85" s="25"/>
      <c r="F85" s="25"/>
      <c r="G85" s="80"/>
      <c r="H85" s="25"/>
      <c r="I85" s="26"/>
      <c r="J85" s="25"/>
      <c r="K85" s="157">
        <f>SUM(K82:K84)</f>
        <v>112</v>
      </c>
      <c r="L85" s="157">
        <f t="shared" ref="L85:M85" si="14">SUM(L82:L84)</f>
        <v>0</v>
      </c>
      <c r="M85" s="157">
        <f t="shared" si="14"/>
        <v>112</v>
      </c>
      <c r="N85" s="17"/>
      <c r="O85" s="145"/>
    </row>
    <row r="86" spans="1:15" s="9" customFormat="1" ht="16.5" customHeight="1">
      <c r="A86" s="2">
        <v>12</v>
      </c>
      <c r="B86" s="3">
        <v>1</v>
      </c>
      <c r="C86" s="3">
        <v>70</v>
      </c>
      <c r="D86" s="3" t="s">
        <v>14</v>
      </c>
      <c r="E86" s="3"/>
      <c r="F86" s="4" t="s">
        <v>390</v>
      </c>
      <c r="G86" s="18" t="s">
        <v>391</v>
      </c>
      <c r="H86" s="4" t="s">
        <v>392</v>
      </c>
      <c r="I86" s="4" t="s">
        <v>393</v>
      </c>
      <c r="J86" s="4" t="s">
        <v>394</v>
      </c>
      <c r="K86" s="19">
        <v>150</v>
      </c>
      <c r="L86" s="19"/>
      <c r="M86" s="6">
        <f t="shared" si="11"/>
        <v>150</v>
      </c>
      <c r="N86" s="8">
        <v>57340</v>
      </c>
      <c r="O86" s="149" t="s">
        <v>2968</v>
      </c>
    </row>
    <row r="87" spans="1:15" s="9" customFormat="1" ht="16.5" customHeight="1">
      <c r="A87" s="13"/>
      <c r="B87" s="14"/>
      <c r="C87" s="14"/>
      <c r="D87" s="14"/>
      <c r="E87" s="14"/>
      <c r="F87" s="15"/>
      <c r="G87" s="16"/>
      <c r="H87" s="15"/>
      <c r="I87" s="15"/>
      <c r="J87" s="14"/>
      <c r="K87" s="157">
        <f>SUM(K86)</f>
        <v>150</v>
      </c>
      <c r="L87" s="157">
        <f t="shared" ref="L87:M87" si="15">SUM(L86)</f>
        <v>0</v>
      </c>
      <c r="M87" s="157">
        <f t="shared" si="15"/>
        <v>150</v>
      </c>
      <c r="N87" s="17"/>
      <c r="O87" s="145"/>
    </row>
    <row r="88" spans="1:15" ht="16.5" customHeight="1">
      <c r="A88" s="2">
        <v>13</v>
      </c>
      <c r="B88" s="3">
        <v>1</v>
      </c>
      <c r="C88" s="3">
        <v>71</v>
      </c>
      <c r="D88" s="3"/>
      <c r="E88" s="3" t="s">
        <v>488</v>
      </c>
      <c r="F88" s="4" t="s">
        <v>2453</v>
      </c>
      <c r="G88" s="18" t="s">
        <v>2454</v>
      </c>
      <c r="H88" s="4" t="s">
        <v>2455</v>
      </c>
      <c r="I88" s="4" t="s">
        <v>2456</v>
      </c>
      <c r="J88" s="4" t="s">
        <v>85</v>
      </c>
      <c r="K88" s="6"/>
      <c r="L88" s="6">
        <v>300</v>
      </c>
      <c r="M88" s="6">
        <f t="shared" si="11"/>
        <v>300</v>
      </c>
      <c r="N88" s="8">
        <v>28670</v>
      </c>
      <c r="O88" s="144"/>
    </row>
    <row r="89" spans="1:15" ht="16.5" customHeight="1">
      <c r="A89" s="24"/>
      <c r="B89" s="25"/>
      <c r="C89" s="25"/>
      <c r="D89" s="25"/>
      <c r="E89" s="25"/>
      <c r="F89" s="25"/>
      <c r="G89" s="80"/>
      <c r="H89" s="25"/>
      <c r="I89" s="26"/>
      <c r="J89" s="25"/>
      <c r="K89" s="157">
        <f>SUM(K88)</f>
        <v>0</v>
      </c>
      <c r="L89" s="157">
        <f t="shared" ref="L89:M89" si="16">SUM(L88)</f>
        <v>300</v>
      </c>
      <c r="M89" s="157">
        <f t="shared" si="16"/>
        <v>300</v>
      </c>
      <c r="N89" s="17"/>
      <c r="O89" s="145"/>
    </row>
    <row r="90" spans="1:15" ht="16.5" customHeight="1">
      <c r="A90" s="2">
        <v>14</v>
      </c>
      <c r="B90" s="3">
        <v>1</v>
      </c>
      <c r="C90" s="3">
        <v>72</v>
      </c>
      <c r="D90" s="3"/>
      <c r="E90" s="3" t="s">
        <v>488</v>
      </c>
      <c r="F90" s="4"/>
      <c r="G90" s="18" t="s">
        <v>2197</v>
      </c>
      <c r="H90" s="4">
        <v>150377</v>
      </c>
      <c r="I90" s="4" t="s">
        <v>2198</v>
      </c>
      <c r="J90" s="4" t="s">
        <v>85</v>
      </c>
      <c r="K90" s="6"/>
      <c r="L90" s="6">
        <v>20</v>
      </c>
      <c r="M90" s="6">
        <f t="shared" si="11"/>
        <v>20</v>
      </c>
      <c r="N90" s="8" t="s">
        <v>1700</v>
      </c>
      <c r="O90" s="144"/>
    </row>
    <row r="91" spans="1:15" ht="16.5" customHeight="1">
      <c r="A91" s="2">
        <v>14</v>
      </c>
      <c r="B91" s="3">
        <v>2</v>
      </c>
      <c r="C91" s="3">
        <v>73</v>
      </c>
      <c r="D91" s="3"/>
      <c r="E91" s="3" t="s">
        <v>488</v>
      </c>
      <c r="F91" s="4"/>
      <c r="G91" s="18" t="s">
        <v>2199</v>
      </c>
      <c r="H91" s="4" t="s">
        <v>2200</v>
      </c>
      <c r="I91" s="4" t="s">
        <v>2198</v>
      </c>
      <c r="J91" s="4" t="s">
        <v>85</v>
      </c>
      <c r="K91" s="6"/>
      <c r="L91" s="6">
        <v>2</v>
      </c>
      <c r="M91" s="6">
        <f t="shared" si="11"/>
        <v>2</v>
      </c>
      <c r="N91" s="8" t="s">
        <v>1700</v>
      </c>
      <c r="O91" s="144"/>
    </row>
    <row r="92" spans="1:15" ht="16.5" customHeight="1">
      <c r="A92" s="2">
        <v>14</v>
      </c>
      <c r="B92" s="3">
        <v>3</v>
      </c>
      <c r="C92" s="3">
        <v>74</v>
      </c>
      <c r="D92" s="3"/>
      <c r="E92" s="3" t="s">
        <v>488</v>
      </c>
      <c r="F92" s="4"/>
      <c r="G92" s="18" t="s">
        <v>2201</v>
      </c>
      <c r="H92" s="4" t="s">
        <v>2202</v>
      </c>
      <c r="I92" s="4" t="s">
        <v>2198</v>
      </c>
      <c r="J92" s="4" t="s">
        <v>85</v>
      </c>
      <c r="K92" s="6"/>
      <c r="L92" s="6">
        <v>2</v>
      </c>
      <c r="M92" s="6">
        <f t="shared" si="11"/>
        <v>2</v>
      </c>
      <c r="N92" s="8" t="s">
        <v>1700</v>
      </c>
      <c r="O92" s="144"/>
    </row>
    <row r="93" spans="1:15" ht="16.5" customHeight="1">
      <c r="A93" s="2">
        <v>14</v>
      </c>
      <c r="B93" s="3">
        <v>4</v>
      </c>
      <c r="C93" s="3">
        <v>75</v>
      </c>
      <c r="D93" s="3"/>
      <c r="E93" s="3" t="s">
        <v>488</v>
      </c>
      <c r="F93" s="4"/>
      <c r="G93" s="18" t="s">
        <v>2203</v>
      </c>
      <c r="H93" s="4" t="s">
        <v>2204</v>
      </c>
      <c r="I93" s="4" t="s">
        <v>2198</v>
      </c>
      <c r="J93" s="4" t="s">
        <v>85</v>
      </c>
      <c r="K93" s="6"/>
      <c r="L93" s="6">
        <v>2</v>
      </c>
      <c r="M93" s="6">
        <f t="shared" si="11"/>
        <v>2</v>
      </c>
      <c r="N93" s="8" t="s">
        <v>1700</v>
      </c>
      <c r="O93" s="144"/>
    </row>
    <row r="94" spans="1:15" ht="16.5" customHeight="1">
      <c r="A94" s="2">
        <v>14</v>
      </c>
      <c r="B94" s="3">
        <v>5</v>
      </c>
      <c r="C94" s="3">
        <v>76</v>
      </c>
      <c r="D94" s="3"/>
      <c r="E94" s="3" t="s">
        <v>488</v>
      </c>
      <c r="F94" s="4"/>
      <c r="G94" s="18" t="s">
        <v>2205</v>
      </c>
      <c r="H94" s="4" t="s">
        <v>2206</v>
      </c>
      <c r="I94" s="4" t="s">
        <v>2198</v>
      </c>
      <c r="J94" s="4" t="s">
        <v>85</v>
      </c>
      <c r="K94" s="6"/>
      <c r="L94" s="6">
        <v>2</v>
      </c>
      <c r="M94" s="6">
        <f t="shared" si="11"/>
        <v>2</v>
      </c>
      <c r="N94" s="8" t="s">
        <v>1700</v>
      </c>
      <c r="O94" s="144"/>
    </row>
    <row r="95" spans="1:15" ht="16.5" customHeight="1">
      <c r="A95" s="2">
        <v>14</v>
      </c>
      <c r="B95" s="3">
        <v>6</v>
      </c>
      <c r="C95" s="3">
        <v>77</v>
      </c>
      <c r="D95" s="3"/>
      <c r="E95" s="3" t="s">
        <v>488</v>
      </c>
      <c r="F95" s="4"/>
      <c r="G95" s="18" t="s">
        <v>2207</v>
      </c>
      <c r="H95" s="4" t="s">
        <v>2208</v>
      </c>
      <c r="I95" s="4" t="s">
        <v>2198</v>
      </c>
      <c r="J95" s="4" t="s">
        <v>85</v>
      </c>
      <c r="K95" s="6"/>
      <c r="L95" s="6">
        <v>3</v>
      </c>
      <c r="M95" s="6">
        <f t="shared" si="11"/>
        <v>3</v>
      </c>
      <c r="N95" s="8" t="s">
        <v>1700</v>
      </c>
      <c r="O95" s="144"/>
    </row>
    <row r="96" spans="1:15" ht="16.5" customHeight="1">
      <c r="A96" s="2">
        <v>14</v>
      </c>
      <c r="B96" s="3">
        <v>7</v>
      </c>
      <c r="C96" s="3">
        <v>78</v>
      </c>
      <c r="D96" s="3"/>
      <c r="E96" s="3" t="s">
        <v>488</v>
      </c>
      <c r="F96" s="4"/>
      <c r="G96" s="18" t="s">
        <v>2209</v>
      </c>
      <c r="H96" s="4" t="s">
        <v>2210</v>
      </c>
      <c r="I96" s="4" t="s">
        <v>2198</v>
      </c>
      <c r="J96" s="4" t="s">
        <v>1372</v>
      </c>
      <c r="K96" s="6"/>
      <c r="L96" s="6">
        <v>1</v>
      </c>
      <c r="M96" s="6">
        <f t="shared" si="11"/>
        <v>1</v>
      </c>
      <c r="N96" s="8" t="s">
        <v>1700</v>
      </c>
      <c r="O96" s="144"/>
    </row>
    <row r="97" spans="1:15" ht="16.5" customHeight="1">
      <c r="A97" s="24"/>
      <c r="B97" s="25"/>
      <c r="C97" s="25"/>
      <c r="D97" s="25"/>
      <c r="E97" s="25"/>
      <c r="F97" s="25"/>
      <c r="G97" s="80"/>
      <c r="H97" s="25"/>
      <c r="I97" s="26"/>
      <c r="J97" s="25"/>
      <c r="K97" s="157">
        <f>SUM(K90:K96)</f>
        <v>0</v>
      </c>
      <c r="L97" s="157">
        <f t="shared" ref="L97:M97" si="17">SUM(L90:L96)</f>
        <v>32</v>
      </c>
      <c r="M97" s="157">
        <f t="shared" si="17"/>
        <v>32</v>
      </c>
      <c r="N97" s="17"/>
      <c r="O97" s="145"/>
    </row>
    <row r="98" spans="1:15" ht="16.5" customHeight="1">
      <c r="A98" s="2">
        <v>15</v>
      </c>
      <c r="B98" s="3">
        <v>1</v>
      </c>
      <c r="C98" s="3">
        <v>79</v>
      </c>
      <c r="D98" s="3"/>
      <c r="E98" s="3" t="s">
        <v>2072</v>
      </c>
      <c r="F98" s="4" t="s">
        <v>2289</v>
      </c>
      <c r="G98" s="18" t="s">
        <v>2290</v>
      </c>
      <c r="H98" s="4" t="s">
        <v>2291</v>
      </c>
      <c r="I98" s="4" t="s">
        <v>2292</v>
      </c>
      <c r="J98" s="4" t="s">
        <v>1972</v>
      </c>
      <c r="K98" s="6"/>
      <c r="L98" s="6">
        <v>60</v>
      </c>
      <c r="M98" s="6">
        <f t="shared" si="11"/>
        <v>60</v>
      </c>
      <c r="N98" s="8">
        <v>124870</v>
      </c>
      <c r="O98" s="144"/>
    </row>
    <row r="99" spans="1:15" ht="16.5" customHeight="1">
      <c r="A99" s="2">
        <v>15</v>
      </c>
      <c r="B99" s="3">
        <v>2</v>
      </c>
      <c r="C99" s="3">
        <v>80</v>
      </c>
      <c r="D99" s="3"/>
      <c r="E99" s="3" t="s">
        <v>2072</v>
      </c>
      <c r="F99" s="4" t="s">
        <v>2293</v>
      </c>
      <c r="G99" s="18" t="s">
        <v>2294</v>
      </c>
      <c r="H99" s="4" t="s">
        <v>2295</v>
      </c>
      <c r="I99" s="4" t="s">
        <v>2292</v>
      </c>
      <c r="J99" s="4" t="s">
        <v>1972</v>
      </c>
      <c r="K99" s="6"/>
      <c r="L99" s="6">
        <v>30</v>
      </c>
      <c r="M99" s="6">
        <f t="shared" si="11"/>
        <v>30</v>
      </c>
      <c r="N99" s="8">
        <v>124870</v>
      </c>
      <c r="O99" s="144"/>
    </row>
    <row r="100" spans="1:15" ht="16.5" customHeight="1">
      <c r="A100" s="24"/>
      <c r="B100" s="25"/>
      <c r="C100" s="25"/>
      <c r="D100" s="25"/>
      <c r="E100" s="25"/>
      <c r="F100" s="25"/>
      <c r="G100" s="80"/>
      <c r="H100" s="25"/>
      <c r="I100" s="26"/>
      <c r="J100" s="25"/>
      <c r="K100" s="157">
        <f>SUM(K98:K99)</f>
        <v>0</v>
      </c>
      <c r="L100" s="157">
        <f t="shared" ref="L100:M100" si="18">SUM(L98:L99)</f>
        <v>90</v>
      </c>
      <c r="M100" s="157">
        <f t="shared" si="18"/>
        <v>90</v>
      </c>
      <c r="N100" s="17"/>
      <c r="O100" s="145"/>
    </row>
    <row r="101" spans="1:15" ht="16.5" customHeight="1">
      <c r="A101" s="2">
        <v>16</v>
      </c>
      <c r="B101" s="3">
        <v>1</v>
      </c>
      <c r="C101" s="3">
        <v>81</v>
      </c>
      <c r="D101" s="3"/>
      <c r="E101" s="3" t="s">
        <v>488</v>
      </c>
      <c r="F101" s="4" t="s">
        <v>2185</v>
      </c>
      <c r="G101" s="18" t="s">
        <v>2935</v>
      </c>
      <c r="H101" s="4" t="s">
        <v>2186</v>
      </c>
      <c r="I101" s="4" t="s">
        <v>2187</v>
      </c>
      <c r="J101" s="4" t="s">
        <v>1372</v>
      </c>
      <c r="K101" s="6"/>
      <c r="L101" s="6">
        <v>40</v>
      </c>
      <c r="M101" s="6">
        <f t="shared" ref="M101:M117" si="19">K101+L101</f>
        <v>40</v>
      </c>
      <c r="N101" s="8">
        <f>690*100</f>
        <v>69000</v>
      </c>
      <c r="O101" s="144" t="s">
        <v>2946</v>
      </c>
    </row>
    <row r="102" spans="1:15" ht="16.5" customHeight="1">
      <c r="A102" s="2">
        <v>16</v>
      </c>
      <c r="B102" s="3">
        <v>2</v>
      </c>
      <c r="C102" s="3">
        <v>82</v>
      </c>
      <c r="D102" s="3"/>
      <c r="E102" s="3" t="s">
        <v>488</v>
      </c>
      <c r="F102" s="4"/>
      <c r="G102" s="18" t="s">
        <v>2188</v>
      </c>
      <c r="H102" s="4" t="s">
        <v>1030</v>
      </c>
      <c r="I102" s="4" t="s">
        <v>2189</v>
      </c>
      <c r="J102" s="4" t="s">
        <v>85</v>
      </c>
      <c r="K102" s="6"/>
      <c r="L102" s="6">
        <v>1008</v>
      </c>
      <c r="M102" s="6">
        <f t="shared" si="19"/>
        <v>1008</v>
      </c>
      <c r="N102" s="8" t="s">
        <v>1700</v>
      </c>
      <c r="O102" s="144"/>
    </row>
    <row r="103" spans="1:15" ht="16.5" customHeight="1">
      <c r="A103" s="2">
        <v>16</v>
      </c>
      <c r="B103" s="3">
        <v>3</v>
      </c>
      <c r="C103" s="3">
        <v>83</v>
      </c>
      <c r="D103" s="3"/>
      <c r="E103" s="3" t="s">
        <v>488</v>
      </c>
      <c r="F103" s="4"/>
      <c r="G103" s="18" t="s">
        <v>2190</v>
      </c>
      <c r="H103" s="4" t="s">
        <v>1031</v>
      </c>
      <c r="I103" s="4" t="s">
        <v>2189</v>
      </c>
      <c r="J103" s="4" t="s">
        <v>85</v>
      </c>
      <c r="K103" s="6"/>
      <c r="L103" s="6">
        <v>4000</v>
      </c>
      <c r="M103" s="6">
        <f t="shared" si="19"/>
        <v>4000</v>
      </c>
      <c r="N103" s="8" t="s">
        <v>1700</v>
      </c>
      <c r="O103" s="144"/>
    </row>
    <row r="104" spans="1:15" ht="16.5" customHeight="1">
      <c r="A104" s="2">
        <v>16</v>
      </c>
      <c r="B104" s="3">
        <v>4</v>
      </c>
      <c r="C104" s="3">
        <v>84</v>
      </c>
      <c r="D104" s="3"/>
      <c r="E104" s="3" t="s">
        <v>488</v>
      </c>
      <c r="F104" s="4"/>
      <c r="G104" s="18" t="s">
        <v>2191</v>
      </c>
      <c r="H104" s="4" t="s">
        <v>2192</v>
      </c>
      <c r="I104" s="4" t="s">
        <v>2193</v>
      </c>
      <c r="J104" s="4" t="s">
        <v>85</v>
      </c>
      <c r="K104" s="6"/>
      <c r="L104" s="6">
        <v>100</v>
      </c>
      <c r="M104" s="6">
        <f t="shared" si="19"/>
        <v>100</v>
      </c>
      <c r="N104" s="8" t="s">
        <v>1700</v>
      </c>
      <c r="O104" s="144"/>
    </row>
    <row r="105" spans="1:15" ht="16.5" customHeight="1">
      <c r="A105" s="2">
        <v>16</v>
      </c>
      <c r="B105" s="3">
        <v>5</v>
      </c>
      <c r="C105" s="3">
        <v>85</v>
      </c>
      <c r="D105" s="3"/>
      <c r="E105" s="3" t="s">
        <v>488</v>
      </c>
      <c r="F105" s="4"/>
      <c r="G105" s="18" t="s">
        <v>2194</v>
      </c>
      <c r="H105" s="4" t="s">
        <v>2195</v>
      </c>
      <c r="I105" s="4" t="s">
        <v>2193</v>
      </c>
      <c r="J105" s="4" t="s">
        <v>85</v>
      </c>
      <c r="K105" s="6"/>
      <c r="L105" s="6">
        <v>100</v>
      </c>
      <c r="M105" s="6">
        <f t="shared" si="19"/>
        <v>100</v>
      </c>
      <c r="N105" s="8" t="s">
        <v>1700</v>
      </c>
      <c r="O105" s="144"/>
    </row>
    <row r="106" spans="1:15" ht="16.5" customHeight="1">
      <c r="A106" s="2">
        <v>16</v>
      </c>
      <c r="B106" s="3">
        <v>6</v>
      </c>
      <c r="C106" s="3">
        <v>86</v>
      </c>
      <c r="D106" s="3"/>
      <c r="E106" s="3" t="s">
        <v>488</v>
      </c>
      <c r="F106" s="4"/>
      <c r="G106" s="18" t="s">
        <v>2196</v>
      </c>
      <c r="H106" s="4" t="s">
        <v>695</v>
      </c>
      <c r="I106" s="4" t="s">
        <v>2189</v>
      </c>
      <c r="J106" s="4" t="s">
        <v>85</v>
      </c>
      <c r="K106" s="6"/>
      <c r="L106" s="6">
        <v>800</v>
      </c>
      <c r="M106" s="6">
        <f t="shared" si="19"/>
        <v>800</v>
      </c>
      <c r="N106" s="8" t="s">
        <v>1700</v>
      </c>
      <c r="O106" s="144"/>
    </row>
    <row r="107" spans="1:15" ht="16.5" customHeight="1">
      <c r="A107" s="24"/>
      <c r="B107" s="25"/>
      <c r="C107" s="25"/>
      <c r="D107" s="25"/>
      <c r="E107" s="25"/>
      <c r="F107" s="25"/>
      <c r="G107" s="80"/>
      <c r="H107" s="25"/>
      <c r="I107" s="26"/>
      <c r="J107" s="25"/>
      <c r="K107" s="157">
        <f>SUM(K101:K106)</f>
        <v>0</v>
      </c>
      <c r="L107" s="157">
        <f t="shared" ref="L107:M107" si="20">SUM(L101:L106)</f>
        <v>6048</v>
      </c>
      <c r="M107" s="157">
        <f t="shared" si="20"/>
        <v>6048</v>
      </c>
      <c r="N107" s="17"/>
      <c r="O107" s="145"/>
    </row>
    <row r="108" spans="1:15" ht="16.5" customHeight="1">
      <c r="A108" s="2">
        <v>17</v>
      </c>
      <c r="B108" s="3">
        <v>1</v>
      </c>
      <c r="C108" s="3">
        <v>87</v>
      </c>
      <c r="D108" s="3" t="s">
        <v>2075</v>
      </c>
      <c r="E108" s="3" t="s">
        <v>2075</v>
      </c>
      <c r="F108" s="4"/>
      <c r="G108" s="18" t="s">
        <v>1402</v>
      </c>
      <c r="H108" s="4" t="s">
        <v>1403</v>
      </c>
      <c r="I108" s="4" t="s">
        <v>1404</v>
      </c>
      <c r="J108" s="4" t="s">
        <v>1405</v>
      </c>
      <c r="K108" s="6">
        <v>60</v>
      </c>
      <c r="L108" s="6">
        <v>40</v>
      </c>
      <c r="M108" s="6">
        <f t="shared" si="19"/>
        <v>100</v>
      </c>
      <c r="N108" s="8" t="s">
        <v>2934</v>
      </c>
      <c r="O108" s="144"/>
    </row>
    <row r="109" spans="1:15" ht="16.5" customHeight="1">
      <c r="A109" s="2">
        <v>17</v>
      </c>
      <c r="B109" s="3">
        <v>2</v>
      </c>
      <c r="C109" s="3">
        <v>88</v>
      </c>
      <c r="D109" s="3" t="s">
        <v>2909</v>
      </c>
      <c r="E109" s="3"/>
      <c r="F109" s="4"/>
      <c r="G109" s="18" t="s">
        <v>1423</v>
      </c>
      <c r="H109" s="4" t="s">
        <v>1424</v>
      </c>
      <c r="I109" s="4" t="s">
        <v>1408</v>
      </c>
      <c r="J109" s="4" t="s">
        <v>1405</v>
      </c>
      <c r="K109" s="6">
        <v>15</v>
      </c>
      <c r="L109" s="6"/>
      <c r="M109" s="6">
        <f t="shared" si="19"/>
        <v>15</v>
      </c>
      <c r="N109" s="8" t="s">
        <v>2934</v>
      </c>
      <c r="O109" s="144"/>
    </row>
    <row r="110" spans="1:15" ht="16.5" customHeight="1">
      <c r="A110" s="2">
        <v>17</v>
      </c>
      <c r="B110" s="3">
        <v>3</v>
      </c>
      <c r="C110" s="3">
        <v>89</v>
      </c>
      <c r="D110" s="3" t="s">
        <v>2075</v>
      </c>
      <c r="E110" s="3" t="s">
        <v>2075</v>
      </c>
      <c r="F110" s="4"/>
      <c r="G110" s="18" t="s">
        <v>1406</v>
      </c>
      <c r="H110" s="4" t="s">
        <v>1407</v>
      </c>
      <c r="I110" s="4" t="s">
        <v>1408</v>
      </c>
      <c r="J110" s="4" t="s">
        <v>1405</v>
      </c>
      <c r="K110" s="6">
        <v>120</v>
      </c>
      <c r="L110" s="6">
        <v>130</v>
      </c>
      <c r="M110" s="6">
        <f t="shared" si="19"/>
        <v>250</v>
      </c>
      <c r="N110" s="8" t="s">
        <v>2934</v>
      </c>
      <c r="O110" s="144"/>
    </row>
    <row r="111" spans="1:15" ht="16.5" customHeight="1">
      <c r="A111" s="2">
        <v>17</v>
      </c>
      <c r="B111" s="3">
        <v>4</v>
      </c>
      <c r="C111" s="3">
        <v>90</v>
      </c>
      <c r="D111" s="3" t="s">
        <v>2075</v>
      </c>
      <c r="E111" s="3"/>
      <c r="F111" s="4"/>
      <c r="G111" s="18" t="s">
        <v>1421</v>
      </c>
      <c r="H111" s="4" t="s">
        <v>1422</v>
      </c>
      <c r="I111" s="4" t="s">
        <v>1408</v>
      </c>
      <c r="J111" s="4" t="s">
        <v>1405</v>
      </c>
      <c r="K111" s="6">
        <v>15</v>
      </c>
      <c r="L111" s="6"/>
      <c r="M111" s="6">
        <f t="shared" si="19"/>
        <v>15</v>
      </c>
      <c r="N111" s="8" t="s">
        <v>2934</v>
      </c>
      <c r="O111" s="144"/>
    </row>
    <row r="112" spans="1:15" ht="16.5" customHeight="1">
      <c r="A112" s="2">
        <v>17</v>
      </c>
      <c r="B112" s="3">
        <v>5</v>
      </c>
      <c r="C112" s="3">
        <v>91</v>
      </c>
      <c r="D112" s="3" t="s">
        <v>2075</v>
      </c>
      <c r="E112" s="3"/>
      <c r="F112" s="4"/>
      <c r="G112" s="18" t="s">
        <v>1418</v>
      </c>
      <c r="H112" s="4" t="s">
        <v>1419</v>
      </c>
      <c r="I112" s="4" t="s">
        <v>1408</v>
      </c>
      <c r="J112" s="4" t="s">
        <v>1420</v>
      </c>
      <c r="K112" s="6">
        <v>3</v>
      </c>
      <c r="L112" s="6"/>
      <c r="M112" s="6">
        <f t="shared" si="19"/>
        <v>3</v>
      </c>
      <c r="N112" s="8" t="s">
        <v>2934</v>
      </c>
      <c r="O112" s="144"/>
    </row>
    <row r="113" spans="1:15" ht="16.5" customHeight="1">
      <c r="A113" s="2">
        <v>17</v>
      </c>
      <c r="B113" s="3">
        <v>6</v>
      </c>
      <c r="C113" s="3">
        <v>92</v>
      </c>
      <c r="D113" s="3"/>
      <c r="E113" s="3" t="s">
        <v>488</v>
      </c>
      <c r="F113" s="4" t="s">
        <v>2113</v>
      </c>
      <c r="G113" s="18" t="s">
        <v>2114</v>
      </c>
      <c r="H113" s="4" t="s">
        <v>2115</v>
      </c>
      <c r="I113" s="4" t="s">
        <v>2116</v>
      </c>
      <c r="J113" s="4" t="s">
        <v>85</v>
      </c>
      <c r="K113" s="6"/>
      <c r="L113" s="6">
        <v>100</v>
      </c>
      <c r="M113" s="6">
        <f t="shared" si="19"/>
        <v>100</v>
      </c>
      <c r="N113" s="8">
        <v>3860</v>
      </c>
      <c r="O113" s="144"/>
    </row>
    <row r="114" spans="1:15" ht="16.5" customHeight="1">
      <c r="A114" s="2">
        <v>17</v>
      </c>
      <c r="B114" s="3">
        <v>7</v>
      </c>
      <c r="C114" s="3">
        <v>93</v>
      </c>
      <c r="D114" s="3"/>
      <c r="E114" s="3" t="s">
        <v>488</v>
      </c>
      <c r="F114" s="4" t="s">
        <v>2113</v>
      </c>
      <c r="G114" s="18" t="s">
        <v>2117</v>
      </c>
      <c r="H114" s="4" t="s">
        <v>2118</v>
      </c>
      <c r="I114" s="4" t="s">
        <v>2116</v>
      </c>
      <c r="J114" s="4" t="s">
        <v>85</v>
      </c>
      <c r="K114" s="6"/>
      <c r="L114" s="6">
        <v>400</v>
      </c>
      <c r="M114" s="6">
        <f t="shared" si="19"/>
        <v>400</v>
      </c>
      <c r="N114" s="8">
        <v>3860</v>
      </c>
      <c r="O114" s="144"/>
    </row>
    <row r="115" spans="1:15" ht="16.5" customHeight="1">
      <c r="A115" s="2">
        <v>17</v>
      </c>
      <c r="B115" s="3">
        <v>8</v>
      </c>
      <c r="C115" s="3">
        <v>94</v>
      </c>
      <c r="D115" s="3"/>
      <c r="E115" s="3" t="s">
        <v>488</v>
      </c>
      <c r="F115" s="4" t="s">
        <v>2113</v>
      </c>
      <c r="G115" s="18" t="s">
        <v>2114</v>
      </c>
      <c r="H115" s="4" t="s">
        <v>2119</v>
      </c>
      <c r="I115" s="4" t="s">
        <v>2116</v>
      </c>
      <c r="J115" s="4" t="s">
        <v>85</v>
      </c>
      <c r="K115" s="6"/>
      <c r="L115" s="6">
        <v>200</v>
      </c>
      <c r="M115" s="6">
        <f t="shared" si="19"/>
        <v>200</v>
      </c>
      <c r="N115" s="8">
        <v>3860</v>
      </c>
      <c r="O115" s="144"/>
    </row>
    <row r="116" spans="1:15" ht="16.5" customHeight="1">
      <c r="A116" s="2">
        <v>17</v>
      </c>
      <c r="B116" s="3">
        <v>9</v>
      </c>
      <c r="C116" s="3">
        <v>95</v>
      </c>
      <c r="D116" s="3"/>
      <c r="E116" s="3" t="s">
        <v>488</v>
      </c>
      <c r="F116" s="4" t="s">
        <v>2120</v>
      </c>
      <c r="G116" s="18" t="s">
        <v>2121</v>
      </c>
      <c r="H116" s="4" t="s">
        <v>66</v>
      </c>
      <c r="I116" s="4" t="s">
        <v>2122</v>
      </c>
      <c r="J116" s="4" t="s">
        <v>85</v>
      </c>
      <c r="K116" s="6"/>
      <c r="L116" s="6">
        <v>80</v>
      </c>
      <c r="M116" s="6">
        <f t="shared" si="19"/>
        <v>80</v>
      </c>
      <c r="N116" s="8" t="s">
        <v>1700</v>
      </c>
      <c r="O116" s="144"/>
    </row>
    <row r="117" spans="1:15" ht="16.5" customHeight="1">
      <c r="A117" s="2">
        <v>17</v>
      </c>
      <c r="B117" s="3">
        <v>10</v>
      </c>
      <c r="C117" s="3">
        <v>96</v>
      </c>
      <c r="D117" s="3" t="s">
        <v>2910</v>
      </c>
      <c r="E117" s="3"/>
      <c r="F117" s="4" t="s">
        <v>1425</v>
      </c>
      <c r="G117" s="18" t="s">
        <v>1426</v>
      </c>
      <c r="H117" s="4" t="s">
        <v>1427</v>
      </c>
      <c r="I117" s="4" t="s">
        <v>1428</v>
      </c>
      <c r="J117" s="4" t="s">
        <v>28</v>
      </c>
      <c r="K117" s="6">
        <v>350</v>
      </c>
      <c r="L117" s="6"/>
      <c r="M117" s="6">
        <f t="shared" si="19"/>
        <v>350</v>
      </c>
      <c r="N117" s="8">
        <v>7730</v>
      </c>
      <c r="O117" s="144"/>
    </row>
    <row r="118" spans="1:15" ht="16.5" customHeight="1">
      <c r="A118" s="13"/>
      <c r="B118" s="14"/>
      <c r="C118" s="14"/>
      <c r="D118" s="14"/>
      <c r="E118" s="14"/>
      <c r="F118" s="15"/>
      <c r="G118" s="16"/>
      <c r="H118" s="15"/>
      <c r="I118" s="15"/>
      <c r="J118" s="14"/>
      <c r="K118" s="157">
        <f>SUM(K108:K117)</f>
        <v>563</v>
      </c>
      <c r="L118" s="157">
        <f t="shared" ref="L118:M118" si="21">SUM(L108:L117)</f>
        <v>950</v>
      </c>
      <c r="M118" s="157">
        <f t="shared" si="21"/>
        <v>1513</v>
      </c>
      <c r="N118" s="17"/>
      <c r="O118" s="145"/>
    </row>
    <row r="119" spans="1:15" s="9" customFormat="1" ht="16.5" customHeight="1">
      <c r="A119" s="2">
        <v>18</v>
      </c>
      <c r="B119" s="3">
        <v>1</v>
      </c>
      <c r="C119" s="3">
        <v>97</v>
      </c>
      <c r="D119" s="3" t="s">
        <v>33</v>
      </c>
      <c r="E119" s="3"/>
      <c r="F119" s="4"/>
      <c r="G119" s="5" t="s">
        <v>1245</v>
      </c>
      <c r="H119" s="4"/>
      <c r="I119" s="3" t="s">
        <v>2868</v>
      </c>
      <c r="J119" s="3" t="s">
        <v>35</v>
      </c>
      <c r="K119" s="6">
        <f>1000+20000</f>
        <v>21000</v>
      </c>
      <c r="L119" s="6"/>
      <c r="M119" s="6">
        <f t="shared" ref="M119:M124" si="22">K119+L119</f>
        <v>21000</v>
      </c>
      <c r="N119" s="8" t="s">
        <v>2934</v>
      </c>
      <c r="O119" s="149"/>
    </row>
    <row r="120" spans="1:15" s="9" customFormat="1" ht="16.5" customHeight="1">
      <c r="A120" s="2">
        <v>18</v>
      </c>
      <c r="B120" s="3">
        <v>2</v>
      </c>
      <c r="C120" s="3">
        <v>98</v>
      </c>
      <c r="D120" s="3" t="s">
        <v>14</v>
      </c>
      <c r="E120" s="3"/>
      <c r="F120" s="4" t="s">
        <v>1246</v>
      </c>
      <c r="G120" s="5" t="s">
        <v>21</v>
      </c>
      <c r="H120" s="4" t="s">
        <v>1247</v>
      </c>
      <c r="I120" s="3" t="s">
        <v>2869</v>
      </c>
      <c r="J120" s="3" t="s">
        <v>1248</v>
      </c>
      <c r="K120" s="6">
        <v>600</v>
      </c>
      <c r="L120" s="6"/>
      <c r="M120" s="6">
        <f>K120+L120</f>
        <v>600</v>
      </c>
      <c r="N120" s="8">
        <f>247*50</f>
        <v>12350</v>
      </c>
      <c r="O120" s="149" t="s">
        <v>2947</v>
      </c>
    </row>
    <row r="121" spans="1:15" s="9" customFormat="1" ht="16.5" customHeight="1">
      <c r="A121" s="2">
        <v>18</v>
      </c>
      <c r="B121" s="3">
        <v>3</v>
      </c>
      <c r="C121" s="3">
        <v>99</v>
      </c>
      <c r="D121" s="3" t="s">
        <v>14</v>
      </c>
      <c r="E121" s="3"/>
      <c r="F121" s="4"/>
      <c r="G121" s="5" t="s">
        <v>1249</v>
      </c>
      <c r="H121" s="4" t="s">
        <v>1250</v>
      </c>
      <c r="I121" s="3" t="s">
        <v>2870</v>
      </c>
      <c r="J121" s="3" t="s">
        <v>35</v>
      </c>
      <c r="K121" s="6">
        <v>10</v>
      </c>
      <c r="L121" s="6"/>
      <c r="M121" s="6">
        <f t="shared" si="22"/>
        <v>10</v>
      </c>
      <c r="N121" s="8" t="s">
        <v>2934</v>
      </c>
      <c r="O121" s="149"/>
    </row>
    <row r="122" spans="1:15" s="9" customFormat="1" ht="16.5" customHeight="1">
      <c r="A122" s="2">
        <v>18</v>
      </c>
      <c r="B122" s="3">
        <v>4</v>
      </c>
      <c r="C122" s="3">
        <v>100</v>
      </c>
      <c r="D122" s="3" t="s">
        <v>14</v>
      </c>
      <c r="E122" s="3"/>
      <c r="F122" s="4"/>
      <c r="G122" s="5" t="s">
        <v>1249</v>
      </c>
      <c r="H122" s="4" t="s">
        <v>1251</v>
      </c>
      <c r="I122" s="3" t="s">
        <v>2871</v>
      </c>
      <c r="J122" s="3" t="s">
        <v>35</v>
      </c>
      <c r="K122" s="6">
        <v>10</v>
      </c>
      <c r="L122" s="6"/>
      <c r="M122" s="6">
        <f t="shared" si="22"/>
        <v>10</v>
      </c>
      <c r="N122" s="8" t="s">
        <v>2934</v>
      </c>
      <c r="O122" s="149"/>
    </row>
    <row r="123" spans="1:15" s="9" customFormat="1" ht="16.5" customHeight="1">
      <c r="A123" s="2">
        <v>18</v>
      </c>
      <c r="B123" s="3">
        <v>5</v>
      </c>
      <c r="C123" s="3">
        <v>101</v>
      </c>
      <c r="D123" s="3" t="s">
        <v>14</v>
      </c>
      <c r="E123" s="3"/>
      <c r="F123" s="4"/>
      <c r="G123" s="5" t="s">
        <v>1252</v>
      </c>
      <c r="H123" s="4"/>
      <c r="I123" s="3" t="s">
        <v>3008</v>
      </c>
      <c r="J123" s="3" t="s">
        <v>310</v>
      </c>
      <c r="K123" s="6">
        <v>30</v>
      </c>
      <c r="L123" s="6"/>
      <c r="M123" s="6">
        <f t="shared" si="22"/>
        <v>30</v>
      </c>
      <c r="N123" s="8" t="s">
        <v>2934</v>
      </c>
      <c r="O123" s="149"/>
    </row>
    <row r="124" spans="1:15" s="9" customFormat="1" ht="16.5" customHeight="1">
      <c r="A124" s="2">
        <v>18</v>
      </c>
      <c r="B124" s="3">
        <v>6</v>
      </c>
      <c r="C124" s="3">
        <v>102</v>
      </c>
      <c r="D124" s="3" t="s">
        <v>14</v>
      </c>
      <c r="E124" s="3"/>
      <c r="F124" s="4"/>
      <c r="G124" s="5" t="s">
        <v>1253</v>
      </c>
      <c r="H124" s="4" t="s">
        <v>1254</v>
      </c>
      <c r="I124" s="3" t="s">
        <v>2872</v>
      </c>
      <c r="J124" s="3" t="s">
        <v>18</v>
      </c>
      <c r="K124" s="6">
        <v>40</v>
      </c>
      <c r="L124" s="6"/>
      <c r="M124" s="6">
        <f t="shared" si="22"/>
        <v>40</v>
      </c>
      <c r="N124" s="8" t="s">
        <v>2934</v>
      </c>
      <c r="O124" s="149"/>
    </row>
    <row r="125" spans="1:15" ht="16.5" customHeight="1">
      <c r="A125" s="13"/>
      <c r="B125" s="14"/>
      <c r="C125" s="14"/>
      <c r="D125" s="14"/>
      <c r="E125" s="14"/>
      <c r="F125" s="15"/>
      <c r="G125" s="16"/>
      <c r="H125" s="15"/>
      <c r="I125" s="15"/>
      <c r="J125" s="14"/>
      <c r="K125" s="157">
        <f>SUM(K119:K124)</f>
        <v>21690</v>
      </c>
      <c r="L125" s="157">
        <f t="shared" ref="L125:M125" si="23">SUM(L119:L124)</f>
        <v>0</v>
      </c>
      <c r="M125" s="157">
        <f t="shared" si="23"/>
        <v>21690</v>
      </c>
      <c r="N125" s="17"/>
      <c r="O125" s="145"/>
    </row>
    <row r="126" spans="1:15" ht="16.5" customHeight="1">
      <c r="A126" s="2">
        <v>19</v>
      </c>
      <c r="B126" s="3">
        <v>1</v>
      </c>
      <c r="C126" s="3">
        <v>103</v>
      </c>
      <c r="D126" s="3" t="s">
        <v>14</v>
      </c>
      <c r="E126" s="3" t="s">
        <v>2075</v>
      </c>
      <c r="F126" s="4" t="s">
        <v>1464</v>
      </c>
      <c r="G126" s="18" t="s">
        <v>1465</v>
      </c>
      <c r="H126" s="4" t="s">
        <v>1466</v>
      </c>
      <c r="I126" s="4" t="s">
        <v>1467</v>
      </c>
      <c r="J126" s="3" t="s">
        <v>28</v>
      </c>
      <c r="K126" s="6">
        <v>30</v>
      </c>
      <c r="L126" s="6">
        <v>30</v>
      </c>
      <c r="M126" s="6">
        <f t="shared" ref="M126:M157" si="24">K126+L126</f>
        <v>60</v>
      </c>
      <c r="N126" s="8">
        <v>103790</v>
      </c>
      <c r="O126" s="144"/>
    </row>
    <row r="127" spans="1:15" ht="16.5" customHeight="1">
      <c r="A127" s="2">
        <v>19</v>
      </c>
      <c r="B127" s="3">
        <v>2</v>
      </c>
      <c r="C127" s="3">
        <v>104</v>
      </c>
      <c r="D127" s="3" t="s">
        <v>982</v>
      </c>
      <c r="E127" s="3"/>
      <c r="F127" s="4"/>
      <c r="G127" s="29" t="s">
        <v>1468</v>
      </c>
      <c r="H127" s="4" t="s">
        <v>1469</v>
      </c>
      <c r="I127" s="31" t="s">
        <v>176</v>
      </c>
      <c r="J127" s="31" t="s">
        <v>28</v>
      </c>
      <c r="K127" s="41">
        <v>10</v>
      </c>
      <c r="L127" s="41"/>
      <c r="M127" s="6">
        <f t="shared" si="24"/>
        <v>10</v>
      </c>
      <c r="N127" s="8" t="s">
        <v>2934</v>
      </c>
      <c r="O127" s="144"/>
    </row>
    <row r="128" spans="1:15" ht="16.5" customHeight="1">
      <c r="A128" s="2">
        <v>19</v>
      </c>
      <c r="B128" s="3">
        <v>3</v>
      </c>
      <c r="C128" s="3">
        <v>105</v>
      </c>
      <c r="D128" s="3" t="s">
        <v>982</v>
      </c>
      <c r="E128" s="3"/>
      <c r="F128" s="4"/>
      <c r="G128" s="29" t="s">
        <v>1470</v>
      </c>
      <c r="H128" s="4" t="s">
        <v>1469</v>
      </c>
      <c r="I128" s="31" t="s">
        <v>176</v>
      </c>
      <c r="J128" s="31" t="s">
        <v>28</v>
      </c>
      <c r="K128" s="41">
        <v>3</v>
      </c>
      <c r="L128" s="41"/>
      <c r="M128" s="6">
        <f t="shared" si="24"/>
        <v>3</v>
      </c>
      <c r="N128" s="8" t="s">
        <v>2934</v>
      </c>
      <c r="O128" s="144"/>
    </row>
    <row r="129" spans="1:15" ht="16.5" customHeight="1">
      <c r="A129" s="13"/>
      <c r="B129" s="14"/>
      <c r="C129" s="14"/>
      <c r="D129" s="14"/>
      <c r="E129" s="14"/>
      <c r="F129" s="15"/>
      <c r="G129" s="16"/>
      <c r="H129" s="15"/>
      <c r="I129" s="15"/>
      <c r="J129" s="14"/>
      <c r="K129" s="157">
        <f>SUM(K126:K128)</f>
        <v>43</v>
      </c>
      <c r="L129" s="157">
        <f t="shared" ref="L129:M129" si="25">SUM(L126:L128)</f>
        <v>30</v>
      </c>
      <c r="M129" s="157">
        <f t="shared" si="25"/>
        <v>73</v>
      </c>
      <c r="N129" s="17"/>
      <c r="O129" s="145"/>
    </row>
    <row r="130" spans="1:15" ht="16.5" customHeight="1">
      <c r="A130" s="2">
        <v>20</v>
      </c>
      <c r="B130" s="3">
        <v>1</v>
      </c>
      <c r="C130" s="3">
        <v>106</v>
      </c>
      <c r="D130" s="3" t="s">
        <v>1471</v>
      </c>
      <c r="E130" s="3"/>
      <c r="F130" s="65"/>
      <c r="G130" s="66" t="s">
        <v>1472</v>
      </c>
      <c r="H130" s="65" t="s">
        <v>175</v>
      </c>
      <c r="I130" s="31" t="s">
        <v>1473</v>
      </c>
      <c r="J130" s="4" t="s">
        <v>1474</v>
      </c>
      <c r="K130" s="6">
        <v>80</v>
      </c>
      <c r="L130" s="6"/>
      <c r="M130" s="6">
        <f t="shared" si="24"/>
        <v>80</v>
      </c>
      <c r="N130" s="8" t="s">
        <v>2934</v>
      </c>
      <c r="O130" s="144"/>
    </row>
    <row r="131" spans="1:15" ht="16.5" customHeight="1">
      <c r="A131" s="2">
        <v>20</v>
      </c>
      <c r="B131" s="3">
        <v>2</v>
      </c>
      <c r="C131" s="3">
        <v>107</v>
      </c>
      <c r="D131" s="3" t="s">
        <v>75</v>
      </c>
      <c r="E131" s="3"/>
      <c r="F131" s="65" t="s">
        <v>1475</v>
      </c>
      <c r="G131" s="66" t="s">
        <v>1476</v>
      </c>
      <c r="H131" s="65" t="s">
        <v>84</v>
      </c>
      <c r="I131" s="31" t="s">
        <v>1477</v>
      </c>
      <c r="J131" s="28" t="s">
        <v>28</v>
      </c>
      <c r="K131" s="6">
        <v>2</v>
      </c>
      <c r="L131" s="6"/>
      <c r="M131" s="6">
        <f t="shared" si="24"/>
        <v>2</v>
      </c>
      <c r="N131" s="8">
        <v>170000</v>
      </c>
      <c r="O131" s="144"/>
    </row>
    <row r="132" spans="1:15">
      <c r="A132" s="2">
        <v>20</v>
      </c>
      <c r="B132" s="3">
        <v>3</v>
      </c>
      <c r="C132" s="3">
        <v>108</v>
      </c>
      <c r="D132" s="3" t="s">
        <v>75</v>
      </c>
      <c r="E132" s="3"/>
      <c r="F132" s="65" t="s">
        <v>1478</v>
      </c>
      <c r="G132" s="66" t="s">
        <v>1479</v>
      </c>
      <c r="H132" s="65" t="s">
        <v>1480</v>
      </c>
      <c r="I132" s="31" t="s">
        <v>1481</v>
      </c>
      <c r="J132" s="67" t="s">
        <v>1482</v>
      </c>
      <c r="K132" s="6">
        <v>2</v>
      </c>
      <c r="L132" s="6"/>
      <c r="M132" s="6">
        <f t="shared" si="24"/>
        <v>2</v>
      </c>
      <c r="N132" s="8">
        <v>223000</v>
      </c>
      <c r="O132" s="144"/>
    </row>
    <row r="133" spans="1:15">
      <c r="A133" s="2">
        <v>20</v>
      </c>
      <c r="B133" s="3">
        <v>4</v>
      </c>
      <c r="C133" s="3">
        <v>109</v>
      </c>
      <c r="D133" s="3" t="s">
        <v>75</v>
      </c>
      <c r="E133" s="3"/>
      <c r="F133" s="65" t="s">
        <v>1483</v>
      </c>
      <c r="G133" s="66" t="s">
        <v>1484</v>
      </c>
      <c r="H133" s="65" t="s">
        <v>1485</v>
      </c>
      <c r="I133" s="31" t="s">
        <v>1486</v>
      </c>
      <c r="J133" s="28" t="s">
        <v>28</v>
      </c>
      <c r="K133" s="6">
        <v>90</v>
      </c>
      <c r="L133" s="6"/>
      <c r="M133" s="6">
        <f t="shared" si="24"/>
        <v>90</v>
      </c>
      <c r="N133" s="8">
        <v>56080</v>
      </c>
      <c r="O133" s="144"/>
    </row>
    <row r="134" spans="1:15" ht="16.5" customHeight="1">
      <c r="A134" s="2">
        <v>20</v>
      </c>
      <c r="B134" s="3">
        <v>5</v>
      </c>
      <c r="C134" s="3">
        <v>110</v>
      </c>
      <c r="D134" s="3" t="s">
        <v>1471</v>
      </c>
      <c r="E134" s="3"/>
      <c r="F134" s="65"/>
      <c r="G134" s="66" t="s">
        <v>1487</v>
      </c>
      <c r="H134" s="65">
        <v>109090</v>
      </c>
      <c r="I134" s="31" t="s">
        <v>1488</v>
      </c>
      <c r="J134" s="28" t="s">
        <v>85</v>
      </c>
      <c r="K134" s="6">
        <v>3</v>
      </c>
      <c r="L134" s="6"/>
      <c r="M134" s="6">
        <f t="shared" si="24"/>
        <v>3</v>
      </c>
      <c r="N134" s="8" t="s">
        <v>2934</v>
      </c>
      <c r="O134" s="144"/>
    </row>
    <row r="135" spans="1:15">
      <c r="A135" s="2">
        <v>20</v>
      </c>
      <c r="B135" s="3">
        <v>6</v>
      </c>
      <c r="C135" s="3">
        <v>111</v>
      </c>
      <c r="D135" s="3" t="s">
        <v>75</v>
      </c>
      <c r="E135" s="3"/>
      <c r="F135" s="65" t="s">
        <v>1489</v>
      </c>
      <c r="G135" s="66" t="s">
        <v>1490</v>
      </c>
      <c r="H135" s="65" t="s">
        <v>396</v>
      </c>
      <c r="I135" s="31" t="s">
        <v>1491</v>
      </c>
      <c r="J135" s="28" t="s">
        <v>28</v>
      </c>
      <c r="K135" s="6">
        <v>2</v>
      </c>
      <c r="L135" s="6"/>
      <c r="M135" s="6">
        <f t="shared" si="24"/>
        <v>2</v>
      </c>
      <c r="N135" s="8">
        <v>208430</v>
      </c>
      <c r="O135" s="144"/>
    </row>
    <row r="136" spans="1:15" ht="16.5" customHeight="1">
      <c r="A136" s="2">
        <v>20</v>
      </c>
      <c r="B136" s="3">
        <v>7</v>
      </c>
      <c r="C136" s="3">
        <v>112</v>
      </c>
      <c r="D136" s="3" t="s">
        <v>510</v>
      </c>
      <c r="E136" s="3"/>
      <c r="F136" s="65" t="s">
        <v>1492</v>
      </c>
      <c r="G136" s="66" t="s">
        <v>1493</v>
      </c>
      <c r="H136" s="65" t="s">
        <v>1494</v>
      </c>
      <c r="I136" s="31" t="s">
        <v>1495</v>
      </c>
      <c r="J136" s="28" t="s">
        <v>85</v>
      </c>
      <c r="K136" s="6">
        <f>5+3</f>
        <v>8</v>
      </c>
      <c r="L136" s="6"/>
      <c r="M136" s="6">
        <f t="shared" si="24"/>
        <v>8</v>
      </c>
      <c r="N136" s="8">
        <v>61710</v>
      </c>
      <c r="O136" s="144"/>
    </row>
    <row r="137" spans="1:15" ht="16.5" customHeight="1">
      <c r="A137" s="2">
        <v>20</v>
      </c>
      <c r="B137" s="3">
        <v>8</v>
      </c>
      <c r="C137" s="3">
        <v>113</v>
      </c>
      <c r="D137" s="3" t="s">
        <v>510</v>
      </c>
      <c r="E137" s="3"/>
      <c r="F137" s="65" t="s">
        <v>1496</v>
      </c>
      <c r="G137" s="66" t="s">
        <v>1497</v>
      </c>
      <c r="H137" s="65" t="s">
        <v>1498</v>
      </c>
      <c r="I137" s="31" t="s">
        <v>1495</v>
      </c>
      <c r="J137" s="28" t="s">
        <v>85</v>
      </c>
      <c r="K137" s="6">
        <f>5+3</f>
        <v>8</v>
      </c>
      <c r="L137" s="6"/>
      <c r="M137" s="6">
        <f t="shared" si="24"/>
        <v>8</v>
      </c>
      <c r="N137" s="8">
        <v>42310</v>
      </c>
      <c r="O137" s="144"/>
    </row>
    <row r="138" spans="1:15" ht="16.5" customHeight="1">
      <c r="A138" s="2">
        <v>20</v>
      </c>
      <c r="B138" s="3">
        <v>9</v>
      </c>
      <c r="C138" s="3">
        <v>114</v>
      </c>
      <c r="D138" s="3" t="s">
        <v>75</v>
      </c>
      <c r="E138" s="3"/>
      <c r="F138" s="65" t="s">
        <v>1499</v>
      </c>
      <c r="G138" s="66" t="s">
        <v>1500</v>
      </c>
      <c r="H138" s="65">
        <v>2060200</v>
      </c>
      <c r="I138" s="31" t="s">
        <v>1501</v>
      </c>
      <c r="J138" s="28" t="s">
        <v>28</v>
      </c>
      <c r="K138" s="6">
        <v>20</v>
      </c>
      <c r="L138" s="6"/>
      <c r="M138" s="6">
        <f t="shared" si="24"/>
        <v>20</v>
      </c>
      <c r="N138" s="8">
        <v>18080</v>
      </c>
      <c r="O138" s="151"/>
    </row>
    <row r="139" spans="1:15" ht="16.5" customHeight="1">
      <c r="A139" s="13"/>
      <c r="B139" s="14"/>
      <c r="C139" s="14"/>
      <c r="D139" s="14"/>
      <c r="E139" s="14"/>
      <c r="F139" s="15"/>
      <c r="G139" s="16"/>
      <c r="H139" s="15"/>
      <c r="I139" s="15"/>
      <c r="J139" s="14"/>
      <c r="K139" s="157">
        <f>SUM(K130:K138)</f>
        <v>215</v>
      </c>
      <c r="L139" s="157">
        <f t="shared" ref="L139:M139" si="26">SUM(L130:L138)</f>
        <v>0</v>
      </c>
      <c r="M139" s="157">
        <f t="shared" si="26"/>
        <v>215</v>
      </c>
      <c r="N139" s="17"/>
      <c r="O139" s="145"/>
    </row>
    <row r="140" spans="1:15" s="9" customFormat="1" ht="16.5" customHeight="1">
      <c r="A140" s="2">
        <v>21</v>
      </c>
      <c r="B140" s="3">
        <v>1</v>
      </c>
      <c r="C140" s="3">
        <v>115</v>
      </c>
      <c r="D140" s="3" t="s">
        <v>1198</v>
      </c>
      <c r="E140" s="3"/>
      <c r="F140" s="4" t="s">
        <v>1199</v>
      </c>
      <c r="G140" s="5" t="s">
        <v>1200</v>
      </c>
      <c r="H140" s="4" t="s">
        <v>396</v>
      </c>
      <c r="I140" s="3" t="s">
        <v>2863</v>
      </c>
      <c r="J140" s="3" t="s">
        <v>1201</v>
      </c>
      <c r="K140" s="6">
        <v>300</v>
      </c>
      <c r="L140" s="6"/>
      <c r="M140" s="6">
        <f t="shared" si="24"/>
        <v>300</v>
      </c>
      <c r="N140" s="8">
        <v>47390</v>
      </c>
      <c r="O140" s="149"/>
    </row>
    <row r="141" spans="1:15" s="9" customFormat="1" ht="16.5" customHeight="1">
      <c r="A141" s="2">
        <v>21</v>
      </c>
      <c r="B141" s="3">
        <v>2</v>
      </c>
      <c r="C141" s="3">
        <v>116</v>
      </c>
      <c r="D141" s="3" t="s">
        <v>1198</v>
      </c>
      <c r="E141" s="3"/>
      <c r="F141" s="4" t="s">
        <v>1202</v>
      </c>
      <c r="G141" s="5" t="s">
        <v>1203</v>
      </c>
      <c r="H141" s="4" t="s">
        <v>396</v>
      </c>
      <c r="I141" s="3" t="s">
        <v>2863</v>
      </c>
      <c r="J141" s="3" t="s">
        <v>1201</v>
      </c>
      <c r="K141" s="6">
        <v>20</v>
      </c>
      <c r="L141" s="6"/>
      <c r="M141" s="6">
        <f t="shared" si="24"/>
        <v>20</v>
      </c>
      <c r="N141" s="8">
        <v>60350</v>
      </c>
      <c r="O141" s="149"/>
    </row>
    <row r="142" spans="1:15" ht="16.5" customHeight="1">
      <c r="A142" s="13"/>
      <c r="B142" s="14"/>
      <c r="C142" s="14"/>
      <c r="D142" s="14"/>
      <c r="E142" s="14"/>
      <c r="F142" s="15"/>
      <c r="G142" s="16"/>
      <c r="H142" s="15"/>
      <c r="I142" s="15"/>
      <c r="J142" s="14"/>
      <c r="K142" s="157">
        <f>SUM(K140:K141)</f>
        <v>320</v>
      </c>
      <c r="L142" s="157">
        <f t="shared" ref="L142:M142" si="27">SUM(L140:L141)</f>
        <v>0</v>
      </c>
      <c r="M142" s="157">
        <f t="shared" si="27"/>
        <v>320</v>
      </c>
      <c r="N142" s="17"/>
      <c r="O142" s="145"/>
    </row>
    <row r="143" spans="1:15" ht="16.5" customHeight="1">
      <c r="A143" s="2">
        <v>22</v>
      </c>
      <c r="B143" s="3">
        <v>1</v>
      </c>
      <c r="C143" s="3">
        <v>117</v>
      </c>
      <c r="D143" s="4" t="s">
        <v>1198</v>
      </c>
      <c r="E143" s="4"/>
      <c r="F143" s="4" t="s">
        <v>1342</v>
      </c>
      <c r="G143" s="18" t="s">
        <v>1343</v>
      </c>
      <c r="H143" s="4" t="s">
        <v>1344</v>
      </c>
      <c r="I143" s="4" t="s">
        <v>1345</v>
      </c>
      <c r="J143" s="4" t="s">
        <v>28</v>
      </c>
      <c r="K143" s="6">
        <v>200</v>
      </c>
      <c r="L143" s="6"/>
      <c r="M143" s="6">
        <f t="shared" si="24"/>
        <v>200</v>
      </c>
      <c r="N143" s="8">
        <v>63540</v>
      </c>
      <c r="O143" s="144"/>
    </row>
    <row r="144" spans="1:15" ht="16.5" customHeight="1">
      <c r="A144" s="2">
        <v>22</v>
      </c>
      <c r="B144" s="3">
        <v>2</v>
      </c>
      <c r="C144" s="3">
        <v>118</v>
      </c>
      <c r="D144" s="4" t="s">
        <v>75</v>
      </c>
      <c r="E144" s="4"/>
      <c r="F144" s="53" t="s">
        <v>1346</v>
      </c>
      <c r="G144" s="18" t="s">
        <v>1347</v>
      </c>
      <c r="H144" s="53" t="s">
        <v>1348</v>
      </c>
      <c r="I144" s="4" t="s">
        <v>1349</v>
      </c>
      <c r="J144" s="4" t="s">
        <v>28</v>
      </c>
      <c r="K144" s="6">
        <v>50</v>
      </c>
      <c r="L144" s="6"/>
      <c r="M144" s="6">
        <f t="shared" si="24"/>
        <v>50</v>
      </c>
      <c r="N144" s="8">
        <v>57190</v>
      </c>
      <c r="O144" s="144"/>
    </row>
    <row r="145" spans="1:15" ht="16.5" customHeight="1">
      <c r="A145" s="2">
        <v>22</v>
      </c>
      <c r="B145" s="3">
        <v>3</v>
      </c>
      <c r="C145" s="3">
        <v>119</v>
      </c>
      <c r="D145" s="4" t="s">
        <v>1198</v>
      </c>
      <c r="E145" s="4"/>
      <c r="F145" s="4" t="s">
        <v>1350</v>
      </c>
      <c r="G145" s="54" t="s">
        <v>1351</v>
      </c>
      <c r="H145" s="53" t="s">
        <v>175</v>
      </c>
      <c r="I145" s="55" t="s">
        <v>1352</v>
      </c>
      <c r="J145" s="56" t="s">
        <v>28</v>
      </c>
      <c r="K145" s="57">
        <v>20</v>
      </c>
      <c r="L145" s="57"/>
      <c r="M145" s="6">
        <f t="shared" si="24"/>
        <v>20</v>
      </c>
      <c r="N145" s="8">
        <v>47390</v>
      </c>
      <c r="O145" s="144"/>
    </row>
    <row r="146" spans="1:15" ht="16.5" customHeight="1">
      <c r="A146" s="2">
        <v>22</v>
      </c>
      <c r="B146" s="3">
        <v>4</v>
      </c>
      <c r="C146" s="3">
        <v>120</v>
      </c>
      <c r="D146" s="4" t="s">
        <v>1198</v>
      </c>
      <c r="E146" s="4"/>
      <c r="F146" s="53" t="s">
        <v>19</v>
      </c>
      <c r="G146" s="58" t="s">
        <v>1353</v>
      </c>
      <c r="H146" s="53" t="s">
        <v>175</v>
      </c>
      <c r="I146" s="55" t="s">
        <v>1352</v>
      </c>
      <c r="J146" s="56" t="s">
        <v>28</v>
      </c>
      <c r="K146" s="57">
        <v>20</v>
      </c>
      <c r="L146" s="57"/>
      <c r="M146" s="6">
        <f t="shared" si="24"/>
        <v>20</v>
      </c>
      <c r="N146" s="59" t="s">
        <v>19</v>
      </c>
      <c r="O146" s="144"/>
    </row>
    <row r="147" spans="1:15" ht="16.5" customHeight="1">
      <c r="A147" s="13"/>
      <c r="B147" s="14"/>
      <c r="C147" s="14"/>
      <c r="D147" s="14"/>
      <c r="E147" s="14"/>
      <c r="F147" s="15"/>
      <c r="G147" s="16"/>
      <c r="H147" s="15"/>
      <c r="I147" s="15"/>
      <c r="J147" s="14"/>
      <c r="K147" s="157">
        <f>SUM(K143:K146)</f>
        <v>290</v>
      </c>
      <c r="L147" s="157">
        <f t="shared" ref="L147:M147" si="28">SUM(L143:L146)</f>
        <v>0</v>
      </c>
      <c r="M147" s="157">
        <f t="shared" si="28"/>
        <v>290</v>
      </c>
      <c r="N147" s="17"/>
      <c r="O147" s="145"/>
    </row>
    <row r="148" spans="1:15" ht="16.5" customHeight="1">
      <c r="A148" s="45">
        <v>23</v>
      </c>
      <c r="B148" s="31">
        <v>1</v>
      </c>
      <c r="C148" s="31">
        <v>121</v>
      </c>
      <c r="D148" s="31" t="s">
        <v>14</v>
      </c>
      <c r="E148" s="31"/>
      <c r="F148" s="77" t="s">
        <v>1643</v>
      </c>
      <c r="G148" s="36" t="s">
        <v>1644</v>
      </c>
      <c r="H148" s="77" t="s">
        <v>1645</v>
      </c>
      <c r="I148" s="77" t="s">
        <v>1646</v>
      </c>
      <c r="J148" s="77" t="s">
        <v>1647</v>
      </c>
      <c r="K148" s="38">
        <v>7</v>
      </c>
      <c r="L148" s="38"/>
      <c r="M148" s="6">
        <f t="shared" si="24"/>
        <v>7</v>
      </c>
      <c r="N148" s="7">
        <f>2300*50</f>
        <v>115000</v>
      </c>
      <c r="O148" s="144" t="s">
        <v>2936</v>
      </c>
    </row>
    <row r="149" spans="1:15" ht="16.5" customHeight="1">
      <c r="A149" s="45">
        <v>23</v>
      </c>
      <c r="B149" s="31">
        <v>2</v>
      </c>
      <c r="C149" s="31">
        <v>122</v>
      </c>
      <c r="D149" s="31" t="s">
        <v>14</v>
      </c>
      <c r="E149" s="31"/>
      <c r="F149" s="77" t="s">
        <v>1648</v>
      </c>
      <c r="G149" s="36" t="s">
        <v>1644</v>
      </c>
      <c r="H149" s="77" t="s">
        <v>1649</v>
      </c>
      <c r="I149" s="77" t="s">
        <v>1646</v>
      </c>
      <c r="J149" s="77" t="s">
        <v>1650</v>
      </c>
      <c r="K149" s="38">
        <v>7</v>
      </c>
      <c r="L149" s="38"/>
      <c r="M149" s="6">
        <f t="shared" si="24"/>
        <v>7</v>
      </c>
      <c r="N149" s="7">
        <f>3830*20</f>
        <v>76600</v>
      </c>
      <c r="O149" s="144" t="s">
        <v>2939</v>
      </c>
    </row>
    <row r="150" spans="1:15" ht="16.5" customHeight="1">
      <c r="A150" s="45">
        <v>23</v>
      </c>
      <c r="B150" s="31">
        <v>3</v>
      </c>
      <c r="C150" s="31">
        <v>123</v>
      </c>
      <c r="D150" s="31" t="s">
        <v>14</v>
      </c>
      <c r="E150" s="31"/>
      <c r="F150" s="77" t="s">
        <v>1651</v>
      </c>
      <c r="G150" s="36" t="s">
        <v>1644</v>
      </c>
      <c r="H150" s="77" t="s">
        <v>1652</v>
      </c>
      <c r="I150" s="77" t="s">
        <v>1646</v>
      </c>
      <c r="J150" s="77" t="s">
        <v>1650</v>
      </c>
      <c r="K150" s="38">
        <v>7</v>
      </c>
      <c r="L150" s="38"/>
      <c r="M150" s="6">
        <f t="shared" si="24"/>
        <v>7</v>
      </c>
      <c r="N150" s="7">
        <f>4230*20</f>
        <v>84600</v>
      </c>
      <c r="O150" s="144" t="s">
        <v>2937</v>
      </c>
    </row>
    <row r="151" spans="1:15" ht="16.5" customHeight="1">
      <c r="A151" s="45">
        <v>23</v>
      </c>
      <c r="B151" s="31">
        <v>4</v>
      </c>
      <c r="C151" s="31">
        <v>124</v>
      </c>
      <c r="D151" s="31" t="s">
        <v>14</v>
      </c>
      <c r="E151" s="31"/>
      <c r="F151" s="77" t="s">
        <v>1653</v>
      </c>
      <c r="G151" s="36" t="s">
        <v>1644</v>
      </c>
      <c r="H151" s="77" t="s">
        <v>165</v>
      </c>
      <c r="I151" s="77" t="s">
        <v>1646</v>
      </c>
      <c r="J151" s="77" t="s">
        <v>1650</v>
      </c>
      <c r="K151" s="38">
        <v>7</v>
      </c>
      <c r="L151" s="38"/>
      <c r="M151" s="6">
        <f t="shared" si="24"/>
        <v>7</v>
      </c>
      <c r="N151" s="7">
        <f>4960*20</f>
        <v>99200</v>
      </c>
      <c r="O151" s="144" t="s">
        <v>2940</v>
      </c>
    </row>
    <row r="152" spans="1:15" ht="16.5" customHeight="1">
      <c r="A152" s="45">
        <v>23</v>
      </c>
      <c r="B152" s="31">
        <v>5</v>
      </c>
      <c r="C152" s="31">
        <v>125</v>
      </c>
      <c r="D152" s="31" t="s">
        <v>14</v>
      </c>
      <c r="E152" s="31"/>
      <c r="F152" s="77" t="s">
        <v>1654</v>
      </c>
      <c r="G152" s="36" t="s">
        <v>1644</v>
      </c>
      <c r="H152" s="77" t="s">
        <v>1655</v>
      </c>
      <c r="I152" s="77" t="s">
        <v>1646</v>
      </c>
      <c r="J152" s="77" t="s">
        <v>1650</v>
      </c>
      <c r="K152" s="38">
        <v>7</v>
      </c>
      <c r="L152" s="38"/>
      <c r="M152" s="6">
        <f t="shared" si="24"/>
        <v>7</v>
      </c>
      <c r="N152" s="7">
        <f>6440*20</f>
        <v>128800</v>
      </c>
      <c r="O152" s="144" t="s">
        <v>2941</v>
      </c>
    </row>
    <row r="153" spans="1:15" ht="16.5" customHeight="1">
      <c r="A153" s="45">
        <v>23</v>
      </c>
      <c r="B153" s="31">
        <v>6</v>
      </c>
      <c r="C153" s="31">
        <v>126</v>
      </c>
      <c r="D153" s="31" t="s">
        <v>14</v>
      </c>
      <c r="E153" s="31"/>
      <c r="F153" s="77" t="s">
        <v>1656</v>
      </c>
      <c r="G153" s="36" t="s">
        <v>1657</v>
      </c>
      <c r="H153" s="77" t="s">
        <v>66</v>
      </c>
      <c r="I153" s="77" t="s">
        <v>1646</v>
      </c>
      <c r="J153" s="77" t="s">
        <v>1658</v>
      </c>
      <c r="K153" s="38">
        <v>5</v>
      </c>
      <c r="L153" s="38"/>
      <c r="M153" s="6">
        <f t="shared" si="24"/>
        <v>5</v>
      </c>
      <c r="N153" s="7">
        <f>6440*10</f>
        <v>64400</v>
      </c>
      <c r="O153" s="144" t="s">
        <v>2938</v>
      </c>
    </row>
    <row r="154" spans="1:15" ht="16.5" customHeight="1">
      <c r="A154" s="45">
        <v>23</v>
      </c>
      <c r="B154" s="31">
        <v>7</v>
      </c>
      <c r="C154" s="31">
        <v>127</v>
      </c>
      <c r="D154" s="31" t="s">
        <v>14</v>
      </c>
      <c r="E154" s="31"/>
      <c r="F154" s="77" t="s">
        <v>1659</v>
      </c>
      <c r="G154" s="36" t="s">
        <v>1657</v>
      </c>
      <c r="H154" s="77" t="s">
        <v>165</v>
      </c>
      <c r="I154" s="77" t="s">
        <v>1646</v>
      </c>
      <c r="J154" s="77" t="s">
        <v>1658</v>
      </c>
      <c r="K154" s="38">
        <v>5</v>
      </c>
      <c r="L154" s="38"/>
      <c r="M154" s="6">
        <f t="shared" si="24"/>
        <v>5</v>
      </c>
      <c r="N154" s="7">
        <f>13560*10</f>
        <v>135600</v>
      </c>
      <c r="O154" s="144" t="s">
        <v>2938</v>
      </c>
    </row>
    <row r="155" spans="1:15" ht="16.5" customHeight="1">
      <c r="A155" s="45">
        <v>23</v>
      </c>
      <c r="B155" s="31">
        <v>8</v>
      </c>
      <c r="C155" s="31">
        <v>128</v>
      </c>
      <c r="D155" s="31" t="s">
        <v>14</v>
      </c>
      <c r="E155" s="31"/>
      <c r="F155" s="77" t="s">
        <v>1660</v>
      </c>
      <c r="G155" s="36" t="s">
        <v>1657</v>
      </c>
      <c r="H155" s="77" t="s">
        <v>1661</v>
      </c>
      <c r="I155" s="77" t="s">
        <v>1646</v>
      </c>
      <c r="J155" s="77" t="s">
        <v>1658</v>
      </c>
      <c r="K155" s="38">
        <v>20</v>
      </c>
      <c r="L155" s="38"/>
      <c r="M155" s="6">
        <f t="shared" si="24"/>
        <v>20</v>
      </c>
      <c r="N155" s="7">
        <f>4970*10</f>
        <v>49700</v>
      </c>
      <c r="O155" s="144" t="s">
        <v>2938</v>
      </c>
    </row>
    <row r="156" spans="1:15" ht="16.5" customHeight="1">
      <c r="A156" s="45">
        <v>23</v>
      </c>
      <c r="B156" s="31">
        <v>9</v>
      </c>
      <c r="C156" s="31">
        <v>129</v>
      </c>
      <c r="D156" s="31" t="s">
        <v>14</v>
      </c>
      <c r="E156" s="31"/>
      <c r="F156" s="77" t="s">
        <v>1662</v>
      </c>
      <c r="G156" s="36" t="s">
        <v>1663</v>
      </c>
      <c r="H156" s="77" t="s">
        <v>1664</v>
      </c>
      <c r="I156" s="77" t="s">
        <v>1646</v>
      </c>
      <c r="J156" s="77" t="s">
        <v>1658</v>
      </c>
      <c r="K156" s="38">
        <v>1</v>
      </c>
      <c r="L156" s="38"/>
      <c r="M156" s="6">
        <f t="shared" si="24"/>
        <v>1</v>
      </c>
      <c r="N156" s="7">
        <f>16150*10</f>
        <v>161500</v>
      </c>
      <c r="O156" s="144" t="s">
        <v>2938</v>
      </c>
    </row>
    <row r="157" spans="1:15" ht="16.5" customHeight="1">
      <c r="A157" s="45">
        <v>23</v>
      </c>
      <c r="B157" s="31">
        <v>10</v>
      </c>
      <c r="C157" s="31">
        <v>130</v>
      </c>
      <c r="D157" s="31" t="s">
        <v>14</v>
      </c>
      <c r="E157" s="31"/>
      <c r="F157" s="77" t="s">
        <v>1665</v>
      </c>
      <c r="G157" s="36" t="s">
        <v>1663</v>
      </c>
      <c r="H157" s="77" t="s">
        <v>1666</v>
      </c>
      <c r="I157" s="77" t="s">
        <v>1646</v>
      </c>
      <c r="J157" s="77" t="s">
        <v>1658</v>
      </c>
      <c r="K157" s="38">
        <v>1</v>
      </c>
      <c r="L157" s="38"/>
      <c r="M157" s="6">
        <f t="shared" si="24"/>
        <v>1</v>
      </c>
      <c r="N157" s="7">
        <f>8410*10</f>
        <v>84100</v>
      </c>
      <c r="O157" s="144" t="s">
        <v>2938</v>
      </c>
    </row>
    <row r="158" spans="1:15" ht="16.5" customHeight="1">
      <c r="A158" s="45">
        <v>23</v>
      </c>
      <c r="B158" s="31">
        <v>11</v>
      </c>
      <c r="C158" s="31">
        <v>131</v>
      </c>
      <c r="D158" s="31" t="s">
        <v>14</v>
      </c>
      <c r="E158" s="31"/>
      <c r="F158" s="77" t="s">
        <v>1667</v>
      </c>
      <c r="G158" s="36" t="s">
        <v>1668</v>
      </c>
      <c r="H158" s="77" t="s">
        <v>1661</v>
      </c>
      <c r="I158" s="77" t="s">
        <v>1646</v>
      </c>
      <c r="J158" s="77" t="s">
        <v>1669</v>
      </c>
      <c r="K158" s="7">
        <v>5</v>
      </c>
      <c r="L158" s="7"/>
      <c r="M158" s="6">
        <f t="shared" ref="M158:M189" si="29">K158+L158</f>
        <v>5</v>
      </c>
      <c r="N158" s="7">
        <f>28600*40</f>
        <v>1144000</v>
      </c>
      <c r="O158" s="144" t="s">
        <v>2942</v>
      </c>
    </row>
    <row r="159" spans="1:15" ht="16.5" customHeight="1">
      <c r="A159" s="45">
        <v>23</v>
      </c>
      <c r="B159" s="31">
        <v>12</v>
      </c>
      <c r="C159" s="31">
        <v>132</v>
      </c>
      <c r="D159" s="31" t="s">
        <v>14</v>
      </c>
      <c r="E159" s="31"/>
      <c r="F159" s="77" t="s">
        <v>1670</v>
      </c>
      <c r="G159" s="36" t="s">
        <v>1668</v>
      </c>
      <c r="H159" s="77" t="s">
        <v>1671</v>
      </c>
      <c r="I159" s="77" t="s">
        <v>1646</v>
      </c>
      <c r="J159" s="77" t="s">
        <v>1669</v>
      </c>
      <c r="K159" s="7">
        <v>15</v>
      </c>
      <c r="L159" s="7"/>
      <c r="M159" s="6">
        <f t="shared" si="29"/>
        <v>15</v>
      </c>
      <c r="N159" s="7">
        <f>10340*40</f>
        <v>413600</v>
      </c>
      <c r="O159" s="144" t="s">
        <v>2943</v>
      </c>
    </row>
    <row r="160" spans="1:15" ht="16.5" customHeight="1">
      <c r="A160" s="45">
        <v>23</v>
      </c>
      <c r="B160" s="31">
        <v>13</v>
      </c>
      <c r="C160" s="31">
        <v>133</v>
      </c>
      <c r="D160" s="31" t="s">
        <v>14</v>
      </c>
      <c r="E160" s="31"/>
      <c r="F160" s="77" t="s">
        <v>1672</v>
      </c>
      <c r="G160" s="36" t="s">
        <v>1673</v>
      </c>
      <c r="H160" s="77" t="s">
        <v>160</v>
      </c>
      <c r="I160" s="77" t="s">
        <v>1646</v>
      </c>
      <c r="J160" s="77" t="s">
        <v>1658</v>
      </c>
      <c r="K160" s="38">
        <v>1</v>
      </c>
      <c r="L160" s="38"/>
      <c r="M160" s="6">
        <f t="shared" si="29"/>
        <v>1</v>
      </c>
      <c r="N160" s="7">
        <v>46000</v>
      </c>
      <c r="O160" s="144" t="s">
        <v>2938</v>
      </c>
    </row>
    <row r="161" spans="1:15" ht="16.5" customHeight="1">
      <c r="A161" s="45">
        <v>23</v>
      </c>
      <c r="B161" s="31">
        <v>14</v>
      </c>
      <c r="C161" s="31">
        <v>134</v>
      </c>
      <c r="D161" s="31" t="s">
        <v>14</v>
      </c>
      <c r="E161" s="31"/>
      <c r="F161" s="77" t="s">
        <v>1674</v>
      </c>
      <c r="G161" s="36" t="s">
        <v>1673</v>
      </c>
      <c r="H161" s="77" t="s">
        <v>1675</v>
      </c>
      <c r="I161" s="77" t="s">
        <v>1646</v>
      </c>
      <c r="J161" s="77" t="s">
        <v>1658</v>
      </c>
      <c r="K161" s="38">
        <v>1</v>
      </c>
      <c r="L161" s="38"/>
      <c r="M161" s="6">
        <f t="shared" si="29"/>
        <v>1</v>
      </c>
      <c r="N161" s="7">
        <v>64400</v>
      </c>
      <c r="O161" s="144" t="s">
        <v>2944</v>
      </c>
    </row>
    <row r="162" spans="1:15" ht="16.5" customHeight="1">
      <c r="A162" s="45">
        <v>23</v>
      </c>
      <c r="B162" s="31">
        <v>15</v>
      </c>
      <c r="C162" s="31">
        <v>135</v>
      </c>
      <c r="D162" s="31" t="s">
        <v>14</v>
      </c>
      <c r="E162" s="31"/>
      <c r="F162" s="77" t="s">
        <v>1676</v>
      </c>
      <c r="G162" s="36" t="s">
        <v>1677</v>
      </c>
      <c r="H162" s="77" t="s">
        <v>66</v>
      </c>
      <c r="I162" s="77" t="s">
        <v>1646</v>
      </c>
      <c r="J162" s="77" t="s">
        <v>1658</v>
      </c>
      <c r="K162" s="38">
        <v>1</v>
      </c>
      <c r="L162" s="38"/>
      <c r="M162" s="6">
        <f t="shared" si="29"/>
        <v>1</v>
      </c>
      <c r="N162" s="7">
        <v>64400</v>
      </c>
      <c r="O162" s="144" t="s">
        <v>2945</v>
      </c>
    </row>
    <row r="163" spans="1:15" ht="16.5" customHeight="1">
      <c r="A163" s="45">
        <v>23</v>
      </c>
      <c r="B163" s="31">
        <v>16</v>
      </c>
      <c r="C163" s="31">
        <v>136</v>
      </c>
      <c r="D163" s="31" t="s">
        <v>14</v>
      </c>
      <c r="E163" s="31"/>
      <c r="F163" s="77" t="s">
        <v>1678</v>
      </c>
      <c r="G163" s="36" t="s">
        <v>1677</v>
      </c>
      <c r="H163" s="77" t="s">
        <v>69</v>
      </c>
      <c r="I163" s="77" t="s">
        <v>1646</v>
      </c>
      <c r="J163" s="77" t="s">
        <v>1658</v>
      </c>
      <c r="K163" s="38">
        <v>1</v>
      </c>
      <c r="L163" s="38"/>
      <c r="M163" s="6">
        <f t="shared" si="29"/>
        <v>1</v>
      </c>
      <c r="N163" s="7">
        <v>135600</v>
      </c>
      <c r="O163" s="144" t="s">
        <v>2938</v>
      </c>
    </row>
    <row r="164" spans="1:15" ht="16.5" customHeight="1">
      <c r="A164" s="45">
        <v>23</v>
      </c>
      <c r="B164" s="31">
        <v>17</v>
      </c>
      <c r="C164" s="31">
        <v>137</v>
      </c>
      <c r="D164" s="31" t="s">
        <v>14</v>
      </c>
      <c r="E164" s="31"/>
      <c r="F164" s="77" t="s">
        <v>1678</v>
      </c>
      <c r="G164" s="36" t="s">
        <v>1677</v>
      </c>
      <c r="H164" s="77" t="s">
        <v>165</v>
      </c>
      <c r="I164" s="77" t="s">
        <v>1646</v>
      </c>
      <c r="J164" s="77" t="s">
        <v>1658</v>
      </c>
      <c r="K164" s="38">
        <v>1</v>
      </c>
      <c r="L164" s="38"/>
      <c r="M164" s="6">
        <f t="shared" si="29"/>
        <v>1</v>
      </c>
      <c r="N164" s="7">
        <v>135600</v>
      </c>
      <c r="O164" s="144" t="s">
        <v>2944</v>
      </c>
    </row>
    <row r="165" spans="1:15" ht="16.5" customHeight="1">
      <c r="A165" s="24"/>
      <c r="B165" s="25"/>
      <c r="C165" s="25"/>
      <c r="D165" s="25"/>
      <c r="E165" s="25"/>
      <c r="F165" s="25"/>
      <c r="G165" s="80"/>
      <c r="H165" s="25"/>
      <c r="I165" s="26"/>
      <c r="J165" s="25"/>
      <c r="K165" s="157">
        <f>SUM(K148:K164)</f>
        <v>92</v>
      </c>
      <c r="L165" s="157">
        <f t="shared" ref="L165:M165" si="30">SUM(L148:L164)</f>
        <v>0</v>
      </c>
      <c r="M165" s="157">
        <f t="shared" si="30"/>
        <v>92</v>
      </c>
      <c r="N165" s="17"/>
      <c r="O165" s="145"/>
    </row>
    <row r="166" spans="1:15" s="9" customFormat="1" ht="16.5" customHeight="1">
      <c r="A166" s="2">
        <v>24</v>
      </c>
      <c r="B166" s="31">
        <v>1</v>
      </c>
      <c r="C166" s="3">
        <v>138</v>
      </c>
      <c r="D166" s="3"/>
      <c r="E166" s="3" t="s">
        <v>488</v>
      </c>
      <c r="F166" s="4" t="s">
        <v>1246</v>
      </c>
      <c r="G166" s="5" t="s">
        <v>2131</v>
      </c>
      <c r="H166" s="4" t="s">
        <v>84</v>
      </c>
      <c r="I166" s="3" t="s">
        <v>2883</v>
      </c>
      <c r="J166" s="3" t="s">
        <v>85</v>
      </c>
      <c r="K166" s="6"/>
      <c r="L166" s="6">
        <v>30300</v>
      </c>
      <c r="M166" s="6">
        <f t="shared" si="29"/>
        <v>30300</v>
      </c>
      <c r="N166" s="8">
        <v>247</v>
      </c>
      <c r="O166" s="149"/>
    </row>
    <row r="167" spans="1:15" s="9" customFormat="1" ht="16.5" customHeight="1">
      <c r="A167" s="2">
        <v>24</v>
      </c>
      <c r="B167" s="31">
        <v>2</v>
      </c>
      <c r="C167" s="3">
        <v>139</v>
      </c>
      <c r="D167" s="3"/>
      <c r="E167" s="3" t="s">
        <v>488</v>
      </c>
      <c r="F167" s="4"/>
      <c r="G167" s="5" t="s">
        <v>2132</v>
      </c>
      <c r="H167" s="4" t="s">
        <v>2133</v>
      </c>
      <c r="I167" s="3" t="s">
        <v>2884</v>
      </c>
      <c r="J167" s="3" t="s">
        <v>85</v>
      </c>
      <c r="K167" s="6"/>
      <c r="L167" s="6">
        <v>3</v>
      </c>
      <c r="M167" s="6">
        <f t="shared" si="29"/>
        <v>3</v>
      </c>
      <c r="N167" s="8" t="s">
        <v>1700</v>
      </c>
      <c r="O167" s="149"/>
    </row>
    <row r="168" spans="1:15" s="9" customFormat="1" ht="16.5" customHeight="1">
      <c r="A168" s="2">
        <v>24</v>
      </c>
      <c r="B168" s="31">
        <v>3</v>
      </c>
      <c r="C168" s="3">
        <v>140</v>
      </c>
      <c r="D168" s="3"/>
      <c r="E168" s="3" t="s">
        <v>488</v>
      </c>
      <c r="F168" s="4"/>
      <c r="G168" s="5" t="s">
        <v>2134</v>
      </c>
      <c r="H168" s="4" t="s">
        <v>2133</v>
      </c>
      <c r="I168" s="3" t="s">
        <v>2885</v>
      </c>
      <c r="J168" s="3" t="s">
        <v>85</v>
      </c>
      <c r="K168" s="6"/>
      <c r="L168" s="6">
        <v>30</v>
      </c>
      <c r="M168" s="6">
        <f t="shared" si="29"/>
        <v>30</v>
      </c>
      <c r="N168" s="8" t="s">
        <v>1700</v>
      </c>
      <c r="O168" s="149"/>
    </row>
    <row r="169" spans="1:15" s="9" customFormat="1" ht="16.5" customHeight="1">
      <c r="A169" s="2">
        <v>24</v>
      </c>
      <c r="B169" s="31">
        <v>4</v>
      </c>
      <c r="C169" s="3">
        <v>141</v>
      </c>
      <c r="D169" s="3"/>
      <c r="E169" s="3" t="s">
        <v>488</v>
      </c>
      <c r="F169" s="4"/>
      <c r="G169" s="5" t="s">
        <v>2137</v>
      </c>
      <c r="H169" s="4" t="s">
        <v>2138</v>
      </c>
      <c r="I169" s="3" t="s">
        <v>2886</v>
      </c>
      <c r="J169" s="3" t="s">
        <v>85</v>
      </c>
      <c r="K169" s="6"/>
      <c r="L169" s="6">
        <v>5</v>
      </c>
      <c r="M169" s="6">
        <f t="shared" si="29"/>
        <v>5</v>
      </c>
      <c r="N169" s="8" t="s">
        <v>1700</v>
      </c>
      <c r="O169" s="149"/>
    </row>
    <row r="170" spans="1:15" s="9" customFormat="1" ht="16.5" customHeight="1">
      <c r="A170" s="2">
        <v>24</v>
      </c>
      <c r="B170" s="31">
        <v>5</v>
      </c>
      <c r="C170" s="3">
        <v>142</v>
      </c>
      <c r="D170" s="3"/>
      <c r="E170" s="3" t="s">
        <v>488</v>
      </c>
      <c r="F170" s="4"/>
      <c r="G170" s="5" t="s">
        <v>2139</v>
      </c>
      <c r="H170" s="4">
        <v>1060</v>
      </c>
      <c r="I170" s="3" t="s">
        <v>2887</v>
      </c>
      <c r="J170" s="3" t="s">
        <v>85</v>
      </c>
      <c r="K170" s="6"/>
      <c r="L170" s="6">
        <v>150</v>
      </c>
      <c r="M170" s="6">
        <f t="shared" si="29"/>
        <v>150</v>
      </c>
      <c r="N170" s="8" t="s">
        <v>1700</v>
      </c>
      <c r="O170" s="149"/>
    </row>
    <row r="171" spans="1:15" s="9" customFormat="1" ht="16.5" customHeight="1">
      <c r="A171" s="2">
        <v>24</v>
      </c>
      <c r="B171" s="31">
        <v>6</v>
      </c>
      <c r="C171" s="3">
        <v>143</v>
      </c>
      <c r="D171" s="3"/>
      <c r="E171" s="3" t="s">
        <v>488</v>
      </c>
      <c r="F171" s="4"/>
      <c r="G171" s="5" t="s">
        <v>1118</v>
      </c>
      <c r="H171" s="4" t="s">
        <v>84</v>
      </c>
      <c r="I171" s="3" t="s">
        <v>2888</v>
      </c>
      <c r="J171" s="3" t="s">
        <v>85</v>
      </c>
      <c r="K171" s="6"/>
      <c r="L171" s="6">
        <v>450</v>
      </c>
      <c r="M171" s="6">
        <f t="shared" si="29"/>
        <v>450</v>
      </c>
      <c r="N171" s="8" t="s">
        <v>1700</v>
      </c>
      <c r="O171" s="149"/>
    </row>
    <row r="172" spans="1:15" s="9" customFormat="1" ht="16.5" customHeight="1">
      <c r="A172" s="2">
        <v>24</v>
      </c>
      <c r="B172" s="31">
        <v>7</v>
      </c>
      <c r="C172" s="3">
        <v>144</v>
      </c>
      <c r="D172" s="3"/>
      <c r="E172" s="3" t="s">
        <v>488</v>
      </c>
      <c r="F172" s="4"/>
      <c r="G172" s="5" t="s">
        <v>2140</v>
      </c>
      <c r="H172" s="4" t="s">
        <v>2141</v>
      </c>
      <c r="I172" s="3" t="s">
        <v>2889</v>
      </c>
      <c r="J172" s="3" t="s">
        <v>85</v>
      </c>
      <c r="K172" s="6"/>
      <c r="L172" s="6">
        <v>8000</v>
      </c>
      <c r="M172" s="6">
        <f t="shared" si="29"/>
        <v>8000</v>
      </c>
      <c r="N172" s="8" t="s">
        <v>1700</v>
      </c>
      <c r="O172" s="149"/>
    </row>
    <row r="173" spans="1:15" s="9" customFormat="1" ht="16.5" customHeight="1">
      <c r="A173" s="2">
        <v>24</v>
      </c>
      <c r="B173" s="31">
        <v>8</v>
      </c>
      <c r="C173" s="3">
        <v>145</v>
      </c>
      <c r="D173" s="3"/>
      <c r="E173" s="3" t="s">
        <v>488</v>
      </c>
      <c r="F173" s="4"/>
      <c r="G173" s="5" t="s">
        <v>2142</v>
      </c>
      <c r="H173" s="4" t="s">
        <v>2143</v>
      </c>
      <c r="I173" s="3" t="s">
        <v>2890</v>
      </c>
      <c r="J173" s="3" t="s">
        <v>85</v>
      </c>
      <c r="K173" s="6"/>
      <c r="L173" s="6">
        <v>50</v>
      </c>
      <c r="M173" s="6">
        <f t="shared" si="29"/>
        <v>50</v>
      </c>
      <c r="N173" s="8" t="s">
        <v>1700</v>
      </c>
      <c r="O173" s="149"/>
    </row>
    <row r="174" spans="1:15" s="9" customFormat="1" ht="16.5" customHeight="1">
      <c r="A174" s="2">
        <v>24</v>
      </c>
      <c r="B174" s="31">
        <v>9</v>
      </c>
      <c r="C174" s="3">
        <v>146</v>
      </c>
      <c r="D174" s="3"/>
      <c r="E174" s="3" t="s">
        <v>488</v>
      </c>
      <c r="F174" s="4"/>
      <c r="G174" s="5" t="s">
        <v>2144</v>
      </c>
      <c r="H174" s="4" t="s">
        <v>2145</v>
      </c>
      <c r="I174" s="3" t="s">
        <v>2831</v>
      </c>
      <c r="J174" s="3" t="s">
        <v>85</v>
      </c>
      <c r="K174" s="6"/>
      <c r="L174" s="6">
        <v>2</v>
      </c>
      <c r="M174" s="6">
        <f t="shared" si="29"/>
        <v>2</v>
      </c>
      <c r="N174" s="8" t="s">
        <v>1700</v>
      </c>
      <c r="O174" s="149"/>
    </row>
    <row r="175" spans="1:15" s="9" customFormat="1" ht="16.5" customHeight="1">
      <c r="A175" s="2">
        <v>24</v>
      </c>
      <c r="B175" s="31">
        <v>10</v>
      </c>
      <c r="C175" s="3">
        <v>147</v>
      </c>
      <c r="D175" s="3"/>
      <c r="E175" s="3" t="s">
        <v>2072</v>
      </c>
      <c r="F175" s="4"/>
      <c r="G175" s="5" t="s">
        <v>2148</v>
      </c>
      <c r="H175" s="4" t="s">
        <v>2149</v>
      </c>
      <c r="I175" s="3" t="s">
        <v>2799</v>
      </c>
      <c r="J175" s="3" t="s">
        <v>2150</v>
      </c>
      <c r="K175" s="6"/>
      <c r="L175" s="6">
        <v>10</v>
      </c>
      <c r="M175" s="6">
        <f t="shared" si="29"/>
        <v>10</v>
      </c>
      <c r="N175" s="8" t="s">
        <v>1700</v>
      </c>
      <c r="O175" s="149"/>
    </row>
    <row r="176" spans="1:15" s="9" customFormat="1" ht="16.5" customHeight="1">
      <c r="A176" s="2">
        <v>24</v>
      </c>
      <c r="B176" s="31">
        <v>11</v>
      </c>
      <c r="C176" s="3">
        <v>148</v>
      </c>
      <c r="D176" s="3"/>
      <c r="E176" s="3" t="s">
        <v>2072</v>
      </c>
      <c r="F176" s="4"/>
      <c r="G176" s="5" t="s">
        <v>2151</v>
      </c>
      <c r="H176" s="4" t="s">
        <v>2152</v>
      </c>
      <c r="I176" s="3" t="s">
        <v>2799</v>
      </c>
      <c r="J176" s="3" t="s">
        <v>2150</v>
      </c>
      <c r="K176" s="6"/>
      <c r="L176" s="6">
        <v>10</v>
      </c>
      <c r="M176" s="6">
        <f t="shared" si="29"/>
        <v>10</v>
      </c>
      <c r="N176" s="8" t="s">
        <v>1700</v>
      </c>
      <c r="O176" s="149"/>
    </row>
    <row r="177" spans="1:15" s="9" customFormat="1" ht="16.5" customHeight="1">
      <c r="A177" s="2">
        <v>24</v>
      </c>
      <c r="B177" s="31">
        <v>12</v>
      </c>
      <c r="C177" s="3">
        <v>149</v>
      </c>
      <c r="D177" s="3"/>
      <c r="E177" s="3" t="s">
        <v>2072</v>
      </c>
      <c r="F177" s="4"/>
      <c r="G177" s="5" t="s">
        <v>2153</v>
      </c>
      <c r="H177" s="4" t="s">
        <v>1169</v>
      </c>
      <c r="I177" s="3" t="s">
        <v>2799</v>
      </c>
      <c r="J177" s="3" t="s">
        <v>2150</v>
      </c>
      <c r="K177" s="6"/>
      <c r="L177" s="6">
        <v>5</v>
      </c>
      <c r="M177" s="6">
        <f t="shared" si="29"/>
        <v>5</v>
      </c>
      <c r="N177" s="8" t="s">
        <v>1700</v>
      </c>
      <c r="O177" s="149"/>
    </row>
    <row r="178" spans="1:15" s="9" customFormat="1" ht="16.5" customHeight="1">
      <c r="A178" s="2">
        <v>24</v>
      </c>
      <c r="B178" s="31">
        <v>13</v>
      </c>
      <c r="C178" s="3">
        <v>150</v>
      </c>
      <c r="D178" s="3"/>
      <c r="E178" s="3" t="s">
        <v>2072</v>
      </c>
      <c r="F178" s="4"/>
      <c r="G178" s="5" t="s">
        <v>2154</v>
      </c>
      <c r="H178" s="4" t="s">
        <v>1170</v>
      </c>
      <c r="I178" s="3" t="s">
        <v>2891</v>
      </c>
      <c r="J178" s="3" t="s">
        <v>2150</v>
      </c>
      <c r="K178" s="6"/>
      <c r="L178" s="6">
        <v>5</v>
      </c>
      <c r="M178" s="6">
        <f t="shared" si="29"/>
        <v>5</v>
      </c>
      <c r="N178" s="8" t="s">
        <v>1700</v>
      </c>
      <c r="O178" s="149"/>
    </row>
    <row r="179" spans="1:15" s="9" customFormat="1" ht="16.5" customHeight="1">
      <c r="A179" s="2">
        <v>24</v>
      </c>
      <c r="B179" s="31">
        <v>14</v>
      </c>
      <c r="C179" s="3">
        <v>151</v>
      </c>
      <c r="D179" s="3"/>
      <c r="E179" s="3" t="s">
        <v>2072</v>
      </c>
      <c r="F179" s="4"/>
      <c r="G179" s="5" t="s">
        <v>2155</v>
      </c>
      <c r="H179" s="4" t="s">
        <v>2152</v>
      </c>
      <c r="I179" s="3" t="s">
        <v>2891</v>
      </c>
      <c r="J179" s="3" t="s">
        <v>2150</v>
      </c>
      <c r="K179" s="6"/>
      <c r="L179" s="6">
        <v>10</v>
      </c>
      <c r="M179" s="6">
        <f t="shared" si="29"/>
        <v>10</v>
      </c>
      <c r="N179" s="8" t="s">
        <v>1700</v>
      </c>
      <c r="O179" s="149"/>
    </row>
    <row r="180" spans="1:15" s="9" customFormat="1" ht="16.5" customHeight="1">
      <c r="A180" s="2">
        <v>24</v>
      </c>
      <c r="B180" s="31">
        <v>15</v>
      </c>
      <c r="C180" s="3">
        <v>152</v>
      </c>
      <c r="D180" s="3"/>
      <c r="E180" s="3" t="s">
        <v>488</v>
      </c>
      <c r="F180" s="4"/>
      <c r="G180" s="5" t="s">
        <v>2184</v>
      </c>
      <c r="H180" s="4" t="s">
        <v>84</v>
      </c>
      <c r="I180" s="3" t="s">
        <v>2608</v>
      </c>
      <c r="J180" s="3" t="s">
        <v>206</v>
      </c>
      <c r="K180" s="6"/>
      <c r="L180" s="6">
        <v>200</v>
      </c>
      <c r="M180" s="6">
        <f t="shared" si="29"/>
        <v>200</v>
      </c>
      <c r="N180" s="8" t="s">
        <v>1700</v>
      </c>
      <c r="O180" s="149"/>
    </row>
    <row r="181" spans="1:15" s="9" customFormat="1" ht="16.5" customHeight="1">
      <c r="A181" s="2">
        <v>24</v>
      </c>
      <c r="B181" s="31">
        <v>16</v>
      </c>
      <c r="C181" s="3">
        <v>153</v>
      </c>
      <c r="D181" s="3"/>
      <c r="E181" s="3" t="s">
        <v>488</v>
      </c>
      <c r="F181" s="4"/>
      <c r="G181" s="5" t="s">
        <v>2183</v>
      </c>
      <c r="H181" s="4" t="s">
        <v>2182</v>
      </c>
      <c r="I181" s="3" t="s">
        <v>2783</v>
      </c>
      <c r="J181" s="3" t="s">
        <v>85</v>
      </c>
      <c r="K181" s="6"/>
      <c r="L181" s="6">
        <v>3000</v>
      </c>
      <c r="M181" s="6">
        <f t="shared" si="29"/>
        <v>3000</v>
      </c>
      <c r="N181" s="8" t="s">
        <v>1700</v>
      </c>
      <c r="O181" s="149"/>
    </row>
    <row r="182" spans="1:15" s="9" customFormat="1" ht="16.5" customHeight="1">
      <c r="A182" s="2">
        <v>24</v>
      </c>
      <c r="B182" s="31">
        <v>17</v>
      </c>
      <c r="C182" s="3">
        <v>154</v>
      </c>
      <c r="D182" s="3"/>
      <c r="E182" s="3" t="s">
        <v>488</v>
      </c>
      <c r="F182" s="4"/>
      <c r="G182" s="5" t="s">
        <v>2181</v>
      </c>
      <c r="H182" s="4" t="s">
        <v>2180</v>
      </c>
      <c r="I182" s="3" t="s">
        <v>2784</v>
      </c>
      <c r="J182" s="3" t="s">
        <v>206</v>
      </c>
      <c r="K182" s="6"/>
      <c r="L182" s="6">
        <v>900</v>
      </c>
      <c r="M182" s="6">
        <f t="shared" si="29"/>
        <v>900</v>
      </c>
      <c r="N182" s="8" t="s">
        <v>1700</v>
      </c>
      <c r="O182" s="149"/>
    </row>
    <row r="183" spans="1:15" s="9" customFormat="1" ht="16.5" customHeight="1">
      <c r="A183" s="2">
        <v>24</v>
      </c>
      <c r="B183" s="31">
        <v>18</v>
      </c>
      <c r="C183" s="3">
        <v>155</v>
      </c>
      <c r="D183" s="3"/>
      <c r="E183" s="3" t="s">
        <v>488</v>
      </c>
      <c r="F183" s="4"/>
      <c r="G183" s="5" t="s">
        <v>2179</v>
      </c>
      <c r="H183" s="4" t="s">
        <v>2178</v>
      </c>
      <c r="I183" s="3" t="s">
        <v>2785</v>
      </c>
      <c r="J183" s="3" t="s">
        <v>85</v>
      </c>
      <c r="K183" s="6"/>
      <c r="L183" s="6">
        <v>192</v>
      </c>
      <c r="M183" s="6">
        <f t="shared" si="29"/>
        <v>192</v>
      </c>
      <c r="N183" s="8" t="s">
        <v>1700</v>
      </c>
      <c r="O183" s="149"/>
    </row>
    <row r="184" spans="1:15" s="9" customFormat="1" ht="16.5" customHeight="1">
      <c r="A184" s="2">
        <v>24</v>
      </c>
      <c r="B184" s="31">
        <v>19</v>
      </c>
      <c r="C184" s="3">
        <v>156</v>
      </c>
      <c r="D184" s="3"/>
      <c r="E184" s="3" t="s">
        <v>488</v>
      </c>
      <c r="F184" s="4"/>
      <c r="G184" s="5" t="s">
        <v>2177</v>
      </c>
      <c r="H184" s="4" t="s">
        <v>2176</v>
      </c>
      <c r="I184" s="3" t="s">
        <v>2786</v>
      </c>
      <c r="J184" s="3" t="s">
        <v>85</v>
      </c>
      <c r="K184" s="6"/>
      <c r="L184" s="6">
        <v>500</v>
      </c>
      <c r="M184" s="6">
        <f t="shared" si="29"/>
        <v>500</v>
      </c>
      <c r="N184" s="8" t="s">
        <v>1700</v>
      </c>
      <c r="O184" s="149"/>
    </row>
    <row r="185" spans="1:15" s="9" customFormat="1" ht="16.5" customHeight="1">
      <c r="A185" s="2">
        <v>24</v>
      </c>
      <c r="B185" s="31">
        <v>20</v>
      </c>
      <c r="C185" s="3">
        <v>157</v>
      </c>
      <c r="D185" s="3"/>
      <c r="E185" s="3" t="s">
        <v>488</v>
      </c>
      <c r="F185" s="4" t="s">
        <v>2175</v>
      </c>
      <c r="G185" s="5" t="s">
        <v>2168</v>
      </c>
      <c r="H185" s="4" t="s">
        <v>1768</v>
      </c>
      <c r="I185" s="3" t="s">
        <v>2787</v>
      </c>
      <c r="J185" s="3" t="s">
        <v>85</v>
      </c>
      <c r="K185" s="6"/>
      <c r="L185" s="6">
        <v>24</v>
      </c>
      <c r="M185" s="6">
        <f t="shared" si="29"/>
        <v>24</v>
      </c>
      <c r="N185" s="8">
        <v>1310</v>
      </c>
      <c r="O185" s="149"/>
    </row>
    <row r="186" spans="1:15" s="9" customFormat="1" ht="16.5" customHeight="1">
      <c r="A186" s="2">
        <v>24</v>
      </c>
      <c r="B186" s="31">
        <v>21</v>
      </c>
      <c r="C186" s="3">
        <v>158</v>
      </c>
      <c r="D186" s="3"/>
      <c r="E186" s="3" t="s">
        <v>488</v>
      </c>
      <c r="F186" s="4" t="s">
        <v>2174</v>
      </c>
      <c r="G186" s="5" t="s">
        <v>2168</v>
      </c>
      <c r="H186" s="4" t="s">
        <v>1765</v>
      </c>
      <c r="I186" s="3" t="s">
        <v>2788</v>
      </c>
      <c r="J186" s="3" t="s">
        <v>85</v>
      </c>
      <c r="K186" s="6"/>
      <c r="L186" s="6">
        <v>24</v>
      </c>
      <c r="M186" s="6">
        <f t="shared" si="29"/>
        <v>24</v>
      </c>
      <c r="N186" s="8">
        <v>1310</v>
      </c>
      <c r="O186" s="149"/>
    </row>
    <row r="187" spans="1:15" s="9" customFormat="1" ht="16.5" customHeight="1">
      <c r="A187" s="2">
        <v>24</v>
      </c>
      <c r="B187" s="31">
        <v>22</v>
      </c>
      <c r="C187" s="3">
        <v>159</v>
      </c>
      <c r="D187" s="3"/>
      <c r="E187" s="3" t="s">
        <v>488</v>
      </c>
      <c r="F187" s="4" t="s">
        <v>2173</v>
      </c>
      <c r="G187" s="5" t="s">
        <v>2168</v>
      </c>
      <c r="H187" s="4" t="s">
        <v>1761</v>
      </c>
      <c r="I187" s="3" t="s">
        <v>2789</v>
      </c>
      <c r="J187" s="3" t="s">
        <v>85</v>
      </c>
      <c r="K187" s="6"/>
      <c r="L187" s="6">
        <v>936</v>
      </c>
      <c r="M187" s="6">
        <f t="shared" si="29"/>
        <v>936</v>
      </c>
      <c r="N187" s="8">
        <v>1480</v>
      </c>
      <c r="O187" s="149"/>
    </row>
    <row r="188" spans="1:15" s="9" customFormat="1" ht="16.5" customHeight="1">
      <c r="A188" s="2">
        <v>24</v>
      </c>
      <c r="B188" s="31">
        <v>23</v>
      </c>
      <c r="C188" s="3">
        <v>160</v>
      </c>
      <c r="D188" s="3"/>
      <c r="E188" s="3" t="s">
        <v>488</v>
      </c>
      <c r="F188" s="4" t="s">
        <v>2172</v>
      </c>
      <c r="G188" s="5" t="s">
        <v>2168</v>
      </c>
      <c r="H188" s="4" t="s">
        <v>1759</v>
      </c>
      <c r="I188" s="3" t="s">
        <v>2790</v>
      </c>
      <c r="J188" s="3" t="s">
        <v>85</v>
      </c>
      <c r="K188" s="6"/>
      <c r="L188" s="6">
        <v>336</v>
      </c>
      <c r="M188" s="6">
        <f t="shared" si="29"/>
        <v>336</v>
      </c>
      <c r="N188" s="8">
        <v>1470</v>
      </c>
      <c r="O188" s="149"/>
    </row>
    <row r="189" spans="1:15" s="9" customFormat="1" ht="16.5" customHeight="1">
      <c r="A189" s="2">
        <v>24</v>
      </c>
      <c r="B189" s="31">
        <v>24</v>
      </c>
      <c r="C189" s="3">
        <v>161</v>
      </c>
      <c r="D189" s="3"/>
      <c r="E189" s="3" t="s">
        <v>488</v>
      </c>
      <c r="F189" s="4" t="s">
        <v>2171</v>
      </c>
      <c r="G189" s="5" t="s">
        <v>2168</v>
      </c>
      <c r="H189" s="4" t="s">
        <v>2160</v>
      </c>
      <c r="I189" s="3" t="s">
        <v>2791</v>
      </c>
      <c r="J189" s="3" t="s">
        <v>85</v>
      </c>
      <c r="K189" s="6"/>
      <c r="L189" s="6">
        <v>72</v>
      </c>
      <c r="M189" s="6">
        <f t="shared" si="29"/>
        <v>72</v>
      </c>
      <c r="N189" s="8">
        <v>1830</v>
      </c>
      <c r="O189" s="149"/>
    </row>
    <row r="190" spans="1:15" s="9" customFormat="1" ht="16.5" customHeight="1">
      <c r="A190" s="2">
        <v>24</v>
      </c>
      <c r="B190" s="31">
        <v>25</v>
      </c>
      <c r="C190" s="3">
        <v>162</v>
      </c>
      <c r="D190" s="3"/>
      <c r="E190" s="3" t="s">
        <v>488</v>
      </c>
      <c r="F190" s="4" t="s">
        <v>2170</v>
      </c>
      <c r="G190" s="5" t="s">
        <v>2168</v>
      </c>
      <c r="H190" s="4" t="s">
        <v>2158</v>
      </c>
      <c r="I190" s="3" t="s">
        <v>2792</v>
      </c>
      <c r="J190" s="3" t="s">
        <v>85</v>
      </c>
      <c r="K190" s="6"/>
      <c r="L190" s="6">
        <v>120</v>
      </c>
      <c r="M190" s="6">
        <f t="shared" ref="M190:M221" si="31">K190+L190</f>
        <v>120</v>
      </c>
      <c r="N190" s="8">
        <v>1860</v>
      </c>
      <c r="O190" s="149"/>
    </row>
    <row r="191" spans="1:15" s="9" customFormat="1" ht="16.5" customHeight="1">
      <c r="A191" s="2">
        <v>24</v>
      </c>
      <c r="B191" s="31">
        <v>26</v>
      </c>
      <c r="C191" s="3">
        <v>163</v>
      </c>
      <c r="D191" s="3"/>
      <c r="E191" s="3" t="s">
        <v>488</v>
      </c>
      <c r="F191" s="4" t="s">
        <v>2169</v>
      </c>
      <c r="G191" s="5" t="s">
        <v>2168</v>
      </c>
      <c r="H191" s="4" t="s">
        <v>1816</v>
      </c>
      <c r="I191" s="3" t="s">
        <v>2793</v>
      </c>
      <c r="J191" s="3" t="s">
        <v>85</v>
      </c>
      <c r="K191" s="6"/>
      <c r="L191" s="6">
        <v>24</v>
      </c>
      <c r="M191" s="6">
        <f t="shared" si="31"/>
        <v>24</v>
      </c>
      <c r="N191" s="8">
        <v>5520</v>
      </c>
      <c r="O191" s="149"/>
    </row>
    <row r="192" spans="1:15" s="9" customFormat="1" ht="16.5" customHeight="1">
      <c r="A192" s="2">
        <v>24</v>
      </c>
      <c r="B192" s="31">
        <v>27</v>
      </c>
      <c r="C192" s="3">
        <v>164</v>
      </c>
      <c r="D192" s="3"/>
      <c r="E192" s="3" t="s">
        <v>488</v>
      </c>
      <c r="F192" s="4"/>
      <c r="G192" s="5" t="s">
        <v>2167</v>
      </c>
      <c r="H192" s="4" t="s">
        <v>84</v>
      </c>
      <c r="I192" s="3" t="s">
        <v>2642</v>
      </c>
      <c r="J192" s="3" t="s">
        <v>206</v>
      </c>
      <c r="K192" s="6"/>
      <c r="L192" s="6">
        <v>65</v>
      </c>
      <c r="M192" s="6">
        <f t="shared" si="31"/>
        <v>65</v>
      </c>
      <c r="N192" s="8" t="s">
        <v>1700</v>
      </c>
      <c r="O192" s="149"/>
    </row>
    <row r="193" spans="1:15" s="9" customFormat="1" ht="16.5" customHeight="1">
      <c r="A193" s="2">
        <v>24</v>
      </c>
      <c r="B193" s="31">
        <v>28</v>
      </c>
      <c r="C193" s="3">
        <v>165</v>
      </c>
      <c r="D193" s="3"/>
      <c r="E193" s="3" t="s">
        <v>2166</v>
      </c>
      <c r="F193" s="4" t="s">
        <v>2165</v>
      </c>
      <c r="G193" s="5" t="s">
        <v>2156</v>
      </c>
      <c r="H193" s="4" t="s">
        <v>1768</v>
      </c>
      <c r="I193" s="3" t="s">
        <v>2794</v>
      </c>
      <c r="J193" s="3" t="s">
        <v>85</v>
      </c>
      <c r="K193" s="6"/>
      <c r="L193" s="6">
        <v>1200</v>
      </c>
      <c r="M193" s="6">
        <f t="shared" si="31"/>
        <v>1200</v>
      </c>
      <c r="N193" s="8">
        <v>1540</v>
      </c>
      <c r="O193" s="149"/>
    </row>
    <row r="194" spans="1:15" s="9" customFormat="1" ht="16.5" customHeight="1">
      <c r="A194" s="2">
        <v>24</v>
      </c>
      <c r="B194" s="31">
        <v>29</v>
      </c>
      <c r="C194" s="3">
        <v>166</v>
      </c>
      <c r="D194" s="3"/>
      <c r="E194" s="3" t="s">
        <v>488</v>
      </c>
      <c r="F194" s="4" t="s">
        <v>2164</v>
      </c>
      <c r="G194" s="5" t="s">
        <v>2156</v>
      </c>
      <c r="H194" s="4" t="s">
        <v>1765</v>
      </c>
      <c r="I194" s="3" t="s">
        <v>2642</v>
      </c>
      <c r="J194" s="3" t="s">
        <v>85</v>
      </c>
      <c r="K194" s="6"/>
      <c r="L194" s="6">
        <v>24</v>
      </c>
      <c r="M194" s="6">
        <f t="shared" si="31"/>
        <v>24</v>
      </c>
      <c r="N194" s="8">
        <v>1540</v>
      </c>
      <c r="O194" s="149"/>
    </row>
    <row r="195" spans="1:15" s="9" customFormat="1" ht="16.5" customHeight="1">
      <c r="A195" s="2">
        <v>24</v>
      </c>
      <c r="B195" s="31">
        <v>30</v>
      </c>
      <c r="C195" s="3">
        <v>167</v>
      </c>
      <c r="D195" s="3"/>
      <c r="E195" s="3" t="s">
        <v>488</v>
      </c>
      <c r="F195" s="4" t="s">
        <v>2163</v>
      </c>
      <c r="G195" s="5" t="s">
        <v>2156</v>
      </c>
      <c r="H195" s="4" t="s">
        <v>1761</v>
      </c>
      <c r="I195" s="3" t="s">
        <v>2795</v>
      </c>
      <c r="J195" s="3" t="s">
        <v>85</v>
      </c>
      <c r="K195" s="6"/>
      <c r="L195" s="6">
        <v>24</v>
      </c>
      <c r="M195" s="6">
        <f t="shared" si="31"/>
        <v>24</v>
      </c>
      <c r="N195" s="8">
        <v>2060</v>
      </c>
      <c r="O195" s="149"/>
    </row>
    <row r="196" spans="1:15" s="9" customFormat="1" ht="16.5" customHeight="1">
      <c r="A196" s="2">
        <v>24</v>
      </c>
      <c r="B196" s="31">
        <v>31</v>
      </c>
      <c r="C196" s="3">
        <v>168</v>
      </c>
      <c r="D196" s="3"/>
      <c r="E196" s="3" t="s">
        <v>488</v>
      </c>
      <c r="F196" s="4" t="s">
        <v>2162</v>
      </c>
      <c r="G196" s="5" t="s">
        <v>2156</v>
      </c>
      <c r="H196" s="4" t="s">
        <v>1759</v>
      </c>
      <c r="I196" s="3" t="s">
        <v>2796</v>
      </c>
      <c r="J196" s="3" t="s">
        <v>85</v>
      </c>
      <c r="K196" s="6"/>
      <c r="L196" s="6">
        <v>24</v>
      </c>
      <c r="M196" s="6">
        <f t="shared" si="31"/>
        <v>24</v>
      </c>
      <c r="N196" s="8">
        <v>2060</v>
      </c>
      <c r="O196" s="149"/>
    </row>
    <row r="197" spans="1:15" s="9" customFormat="1" ht="16.5" customHeight="1">
      <c r="A197" s="2">
        <v>24</v>
      </c>
      <c r="B197" s="31">
        <v>32</v>
      </c>
      <c r="C197" s="3">
        <v>169</v>
      </c>
      <c r="D197" s="3"/>
      <c r="E197" s="3" t="s">
        <v>488</v>
      </c>
      <c r="F197" s="4" t="s">
        <v>2161</v>
      </c>
      <c r="G197" s="5" t="s">
        <v>2156</v>
      </c>
      <c r="H197" s="4" t="s">
        <v>2160</v>
      </c>
      <c r="I197" s="3" t="s">
        <v>2797</v>
      </c>
      <c r="J197" s="3" t="s">
        <v>85</v>
      </c>
      <c r="K197" s="6"/>
      <c r="L197" s="6">
        <v>24</v>
      </c>
      <c r="M197" s="6">
        <f t="shared" si="31"/>
        <v>24</v>
      </c>
      <c r="N197" s="8">
        <v>2680</v>
      </c>
      <c r="O197" s="149"/>
    </row>
    <row r="198" spans="1:15" s="9" customFormat="1" ht="16.5" customHeight="1">
      <c r="A198" s="2">
        <v>24</v>
      </c>
      <c r="B198" s="31">
        <v>33</v>
      </c>
      <c r="C198" s="3">
        <v>170</v>
      </c>
      <c r="D198" s="3"/>
      <c r="E198" s="3" t="s">
        <v>488</v>
      </c>
      <c r="F198" s="4" t="s">
        <v>2159</v>
      </c>
      <c r="G198" s="5" t="s">
        <v>2156</v>
      </c>
      <c r="H198" s="4" t="s">
        <v>2158</v>
      </c>
      <c r="I198" s="3" t="s">
        <v>2798</v>
      </c>
      <c r="J198" s="3" t="s">
        <v>85</v>
      </c>
      <c r="K198" s="6"/>
      <c r="L198" s="6">
        <v>24</v>
      </c>
      <c r="M198" s="6">
        <f t="shared" si="31"/>
        <v>24</v>
      </c>
      <c r="N198" s="8">
        <v>2680</v>
      </c>
      <c r="O198" s="149"/>
    </row>
    <row r="199" spans="1:15" s="9" customFormat="1" ht="16.5" customHeight="1">
      <c r="A199" s="2">
        <v>24</v>
      </c>
      <c r="B199" s="31">
        <v>34</v>
      </c>
      <c r="C199" s="3">
        <v>171</v>
      </c>
      <c r="D199" s="3"/>
      <c r="E199" s="3" t="s">
        <v>488</v>
      </c>
      <c r="F199" s="4" t="s">
        <v>2157</v>
      </c>
      <c r="G199" s="5" t="s">
        <v>2156</v>
      </c>
      <c r="H199" s="4" t="s">
        <v>1816</v>
      </c>
      <c r="I199" s="3" t="s">
        <v>2799</v>
      </c>
      <c r="J199" s="3" t="s">
        <v>85</v>
      </c>
      <c r="K199" s="6"/>
      <c r="L199" s="6">
        <v>24</v>
      </c>
      <c r="M199" s="6">
        <f t="shared" si="31"/>
        <v>24</v>
      </c>
      <c r="N199" s="8">
        <v>5310</v>
      </c>
      <c r="O199" s="149"/>
    </row>
    <row r="200" spans="1:15" ht="17.25" customHeight="1">
      <c r="A200" s="13"/>
      <c r="B200" s="14"/>
      <c r="C200" s="14"/>
      <c r="D200" s="14"/>
      <c r="E200" s="14"/>
      <c r="F200" s="15"/>
      <c r="G200" s="16"/>
      <c r="H200" s="15"/>
      <c r="I200" s="15"/>
      <c r="J200" s="14"/>
      <c r="K200" s="157">
        <f>SUM(K166:K199)</f>
        <v>0</v>
      </c>
      <c r="L200" s="157">
        <f t="shared" ref="L200:M200" si="32">SUM(L166:L199)</f>
        <v>46767</v>
      </c>
      <c r="M200" s="157">
        <f t="shared" si="32"/>
        <v>46767</v>
      </c>
      <c r="N200" s="17"/>
      <c r="O200" s="145"/>
    </row>
    <row r="201" spans="1:15" ht="16.5" customHeight="1">
      <c r="A201" s="2">
        <v>25</v>
      </c>
      <c r="B201" s="3">
        <v>1</v>
      </c>
      <c r="C201" s="3">
        <v>172</v>
      </c>
      <c r="D201" s="3" t="s">
        <v>2916</v>
      </c>
      <c r="E201" s="3" t="s">
        <v>2985</v>
      </c>
      <c r="F201" s="4"/>
      <c r="G201" s="18" t="s">
        <v>1632</v>
      </c>
      <c r="H201" s="4" t="s">
        <v>1633</v>
      </c>
      <c r="I201" s="4" t="s">
        <v>681</v>
      </c>
      <c r="J201" s="4" t="s">
        <v>1634</v>
      </c>
      <c r="K201" s="6">
        <v>30</v>
      </c>
      <c r="L201" s="6">
        <v>24</v>
      </c>
      <c r="M201" s="6">
        <f t="shared" si="31"/>
        <v>54</v>
      </c>
      <c r="N201" s="8" t="s">
        <v>2934</v>
      </c>
      <c r="O201" s="144"/>
    </row>
    <row r="202" spans="1:15" ht="16.5" customHeight="1">
      <c r="A202" s="2">
        <v>25</v>
      </c>
      <c r="B202" s="3">
        <v>2</v>
      </c>
      <c r="C202" s="3">
        <v>173</v>
      </c>
      <c r="D202" s="3"/>
      <c r="E202" s="3" t="s">
        <v>2072</v>
      </c>
      <c r="F202" s="4"/>
      <c r="G202" s="18" t="s">
        <v>2452</v>
      </c>
      <c r="H202" s="4" t="s">
        <v>1583</v>
      </c>
      <c r="I202" s="4" t="s">
        <v>681</v>
      </c>
      <c r="J202" s="4" t="s">
        <v>85</v>
      </c>
      <c r="K202" s="6"/>
      <c r="L202" s="6">
        <v>10</v>
      </c>
      <c r="M202" s="6">
        <f t="shared" si="31"/>
        <v>10</v>
      </c>
      <c r="N202" s="8" t="s">
        <v>1700</v>
      </c>
      <c r="O202" s="144"/>
    </row>
    <row r="203" spans="1:15" ht="16.5" customHeight="1">
      <c r="A203" s="13"/>
      <c r="B203" s="14"/>
      <c r="C203" s="14"/>
      <c r="D203" s="14"/>
      <c r="E203" s="14"/>
      <c r="F203" s="15"/>
      <c r="G203" s="16"/>
      <c r="H203" s="15"/>
      <c r="I203" s="15"/>
      <c r="J203" s="14"/>
      <c r="K203" s="157">
        <f>SUM(K201:K202)</f>
        <v>30</v>
      </c>
      <c r="L203" s="157">
        <f t="shared" ref="L203:M203" si="33">SUM(L201:L202)</f>
        <v>34</v>
      </c>
      <c r="M203" s="157">
        <f t="shared" si="33"/>
        <v>64</v>
      </c>
      <c r="N203" s="17"/>
      <c r="O203" s="145"/>
    </row>
    <row r="204" spans="1:15" ht="16.5" customHeight="1">
      <c r="A204" s="81">
        <v>26</v>
      </c>
      <c r="B204" s="77">
        <v>1</v>
      </c>
      <c r="C204" s="77">
        <v>174</v>
      </c>
      <c r="D204" s="77" t="s">
        <v>75</v>
      </c>
      <c r="E204" s="77"/>
      <c r="F204" s="77" t="s">
        <v>1688</v>
      </c>
      <c r="G204" s="29" t="s">
        <v>1689</v>
      </c>
      <c r="H204" s="77" t="s">
        <v>1690</v>
      </c>
      <c r="I204" s="89" t="s">
        <v>1691</v>
      </c>
      <c r="J204" s="77" t="s">
        <v>28</v>
      </c>
      <c r="K204" s="90">
        <v>20</v>
      </c>
      <c r="L204" s="90"/>
      <c r="M204" s="6">
        <f t="shared" si="31"/>
        <v>20</v>
      </c>
      <c r="N204" s="7">
        <v>63540</v>
      </c>
      <c r="O204" s="111"/>
    </row>
    <row r="205" spans="1:15" ht="16.5" customHeight="1">
      <c r="A205" s="81">
        <v>26</v>
      </c>
      <c r="B205" s="77">
        <v>2</v>
      </c>
      <c r="C205" s="77">
        <v>175</v>
      </c>
      <c r="D205" s="77" t="s">
        <v>1198</v>
      </c>
      <c r="E205" s="77"/>
      <c r="F205" s="77" t="s">
        <v>1688</v>
      </c>
      <c r="G205" s="29" t="s">
        <v>1692</v>
      </c>
      <c r="H205" s="77" t="s">
        <v>1693</v>
      </c>
      <c r="I205" s="89" t="s">
        <v>1691</v>
      </c>
      <c r="J205" s="77" t="s">
        <v>28</v>
      </c>
      <c r="K205" s="90">
        <v>300</v>
      </c>
      <c r="L205" s="90"/>
      <c r="M205" s="6">
        <f t="shared" si="31"/>
        <v>300</v>
      </c>
      <c r="N205" s="7">
        <v>63540</v>
      </c>
      <c r="O205" s="111"/>
    </row>
    <row r="206" spans="1:15" ht="17.25" customHeight="1">
      <c r="A206" s="24"/>
      <c r="B206" s="25"/>
      <c r="C206" s="25"/>
      <c r="D206" s="25"/>
      <c r="E206" s="25"/>
      <c r="F206" s="25"/>
      <c r="G206" s="80"/>
      <c r="H206" s="25"/>
      <c r="I206" s="26"/>
      <c r="J206" s="25"/>
      <c r="K206" s="157">
        <f>SUM(K204:K205)</f>
        <v>320</v>
      </c>
      <c r="L206" s="157">
        <f t="shared" ref="L206:M206" si="34">SUM(L204:L205)</f>
        <v>0</v>
      </c>
      <c r="M206" s="157">
        <f t="shared" si="34"/>
        <v>320</v>
      </c>
      <c r="N206" s="17"/>
      <c r="O206" s="145"/>
    </row>
    <row r="207" spans="1:15" ht="16.5" customHeight="1">
      <c r="A207" s="133">
        <v>27</v>
      </c>
      <c r="B207" s="135">
        <v>1</v>
      </c>
      <c r="C207" s="134">
        <v>176</v>
      </c>
      <c r="D207" s="136" t="s">
        <v>1281</v>
      </c>
      <c r="E207" s="136"/>
      <c r="F207" s="137"/>
      <c r="G207" s="138" t="s">
        <v>1282</v>
      </c>
      <c r="H207" s="137" t="s">
        <v>1283</v>
      </c>
      <c r="I207" s="137" t="s">
        <v>1284</v>
      </c>
      <c r="J207" s="134" t="s">
        <v>28</v>
      </c>
      <c r="K207" s="6">
        <v>24</v>
      </c>
      <c r="L207" s="6"/>
      <c r="M207" s="6">
        <f t="shared" si="31"/>
        <v>24</v>
      </c>
      <c r="N207" s="8" t="s">
        <v>2934</v>
      </c>
      <c r="O207" s="144"/>
    </row>
    <row r="208" spans="1:15" ht="16.5" customHeight="1">
      <c r="A208" s="2">
        <v>27</v>
      </c>
      <c r="B208" s="31">
        <v>2</v>
      </c>
      <c r="C208" s="3">
        <v>177</v>
      </c>
      <c r="D208" s="49" t="s">
        <v>1285</v>
      </c>
      <c r="E208" s="49"/>
      <c r="F208" s="4"/>
      <c r="G208" s="29" t="s">
        <v>1286</v>
      </c>
      <c r="H208" s="50"/>
      <c r="I208" s="4"/>
      <c r="J208" s="51" t="s">
        <v>85</v>
      </c>
      <c r="K208" s="6">
        <v>2</v>
      </c>
      <c r="L208" s="6"/>
      <c r="M208" s="6">
        <f t="shared" si="31"/>
        <v>2</v>
      </c>
      <c r="N208" s="8" t="s">
        <v>2934</v>
      </c>
      <c r="O208" s="144"/>
    </row>
    <row r="209" spans="1:15" ht="16.5" customHeight="1">
      <c r="A209" s="13"/>
      <c r="B209" s="14"/>
      <c r="C209" s="14"/>
      <c r="D209" s="14"/>
      <c r="E209" s="14"/>
      <c r="F209" s="15"/>
      <c r="G209" s="16"/>
      <c r="H209" s="15"/>
      <c r="I209" s="15"/>
      <c r="J209" s="14"/>
      <c r="K209" s="157">
        <f>SUM(K207:K208)</f>
        <v>26</v>
      </c>
      <c r="L209" s="157">
        <f t="shared" ref="L209:M209" si="35">SUM(L207:L208)</f>
        <v>0</v>
      </c>
      <c r="M209" s="157">
        <f t="shared" si="35"/>
        <v>26</v>
      </c>
      <c r="N209" s="17"/>
      <c r="O209" s="145"/>
    </row>
    <row r="210" spans="1:15" s="9" customFormat="1" ht="24">
      <c r="A210" s="2">
        <v>28</v>
      </c>
      <c r="B210" s="3">
        <v>1</v>
      </c>
      <c r="C210" s="3">
        <v>178</v>
      </c>
      <c r="D210" s="3" t="s">
        <v>75</v>
      </c>
      <c r="E210" s="3"/>
      <c r="F210" s="39" t="s">
        <v>3012</v>
      </c>
      <c r="G210" s="5" t="s">
        <v>3015</v>
      </c>
      <c r="H210" s="4" t="s">
        <v>1077</v>
      </c>
      <c r="I210" s="3" t="s">
        <v>3010</v>
      </c>
      <c r="J210" s="3" t="s">
        <v>35</v>
      </c>
      <c r="K210" s="6">
        <v>40</v>
      </c>
      <c r="L210" s="6">
        <v>100</v>
      </c>
      <c r="M210" s="6">
        <f t="shared" si="31"/>
        <v>140</v>
      </c>
      <c r="N210" s="8">
        <v>17500</v>
      </c>
      <c r="O210" s="149"/>
    </row>
    <row r="211" spans="1:15" s="9" customFormat="1" ht="24">
      <c r="A211" s="2">
        <v>28</v>
      </c>
      <c r="B211" s="3">
        <v>2</v>
      </c>
      <c r="C211" s="3">
        <v>179</v>
      </c>
      <c r="D211" s="3" t="s">
        <v>75</v>
      </c>
      <c r="E211" s="3"/>
      <c r="F211" s="39" t="s">
        <v>3013</v>
      </c>
      <c r="G211" s="5" t="s">
        <v>3015</v>
      </c>
      <c r="H211" s="4" t="s">
        <v>1078</v>
      </c>
      <c r="I211" s="3" t="s">
        <v>3010</v>
      </c>
      <c r="J211" s="3" t="s">
        <v>35</v>
      </c>
      <c r="K211" s="6">
        <v>50</v>
      </c>
      <c r="L211" s="6">
        <v>100</v>
      </c>
      <c r="M211" s="6">
        <f t="shared" si="31"/>
        <v>150</v>
      </c>
      <c r="N211" s="8">
        <v>17500</v>
      </c>
      <c r="O211" s="149"/>
    </row>
    <row r="212" spans="1:15" s="9" customFormat="1" ht="24">
      <c r="A212" s="2">
        <v>28</v>
      </c>
      <c r="B212" s="3">
        <v>3</v>
      </c>
      <c r="C212" s="3">
        <v>180</v>
      </c>
      <c r="D212" s="3" t="s">
        <v>75</v>
      </c>
      <c r="E212" s="3"/>
      <c r="F212" s="39" t="s">
        <v>3014</v>
      </c>
      <c r="G212" s="5" t="s">
        <v>3015</v>
      </c>
      <c r="H212" s="4" t="s">
        <v>3011</v>
      </c>
      <c r="I212" s="3" t="s">
        <v>3010</v>
      </c>
      <c r="J212" s="3" t="s">
        <v>35</v>
      </c>
      <c r="K212" s="6">
        <v>300</v>
      </c>
      <c r="L212" s="6">
        <v>50</v>
      </c>
      <c r="M212" s="6">
        <f t="shared" si="31"/>
        <v>350</v>
      </c>
      <c r="N212" s="8">
        <v>17500</v>
      </c>
      <c r="O212" s="149"/>
    </row>
    <row r="213" spans="1:15" s="9" customFormat="1" ht="16.5" customHeight="1">
      <c r="A213" s="2">
        <v>28</v>
      </c>
      <c r="B213" s="3">
        <v>4</v>
      </c>
      <c r="C213" s="3">
        <v>181</v>
      </c>
      <c r="D213" s="3" t="s">
        <v>14</v>
      </c>
      <c r="E213" s="3"/>
      <c r="F213" s="4"/>
      <c r="G213" s="5" t="s">
        <v>1108</v>
      </c>
      <c r="H213" s="4" t="s">
        <v>396</v>
      </c>
      <c r="I213" s="3" t="s">
        <v>2800</v>
      </c>
      <c r="J213" s="3" t="s">
        <v>35</v>
      </c>
      <c r="K213" s="6">
        <v>1500</v>
      </c>
      <c r="L213" s="6"/>
      <c r="M213" s="6">
        <f t="shared" si="31"/>
        <v>1500</v>
      </c>
      <c r="N213" s="8" t="s">
        <v>2934</v>
      </c>
      <c r="O213" s="149"/>
    </row>
    <row r="214" spans="1:15" s="9" customFormat="1" ht="16.5" customHeight="1">
      <c r="A214" s="2">
        <v>28</v>
      </c>
      <c r="B214" s="3">
        <v>5</v>
      </c>
      <c r="C214" s="3">
        <v>182</v>
      </c>
      <c r="D214" s="3" t="s">
        <v>14</v>
      </c>
      <c r="E214" s="3"/>
      <c r="F214" s="4"/>
      <c r="G214" s="5" t="s">
        <v>1109</v>
      </c>
      <c r="H214" s="4" t="s">
        <v>1110</v>
      </c>
      <c r="I214" s="3" t="s">
        <v>2801</v>
      </c>
      <c r="J214" s="3" t="s">
        <v>35</v>
      </c>
      <c r="K214" s="6">
        <v>2000</v>
      </c>
      <c r="L214" s="6"/>
      <c r="M214" s="6">
        <f t="shared" si="31"/>
        <v>2000</v>
      </c>
      <c r="N214" s="8" t="s">
        <v>2934</v>
      </c>
      <c r="O214" s="149"/>
    </row>
    <row r="215" spans="1:15" s="9" customFormat="1" ht="16.5" customHeight="1">
      <c r="A215" s="2">
        <v>28</v>
      </c>
      <c r="B215" s="3">
        <v>6</v>
      </c>
      <c r="C215" s="3">
        <v>183</v>
      </c>
      <c r="D215" s="3" t="s">
        <v>14</v>
      </c>
      <c r="E215" s="3"/>
      <c r="F215" s="4"/>
      <c r="G215" s="5" t="s">
        <v>1111</v>
      </c>
      <c r="H215" s="4" t="s">
        <v>396</v>
      </c>
      <c r="I215" s="3" t="s">
        <v>2802</v>
      </c>
      <c r="J215" s="3" t="s">
        <v>35</v>
      </c>
      <c r="K215" s="6">
        <v>300</v>
      </c>
      <c r="L215" s="6"/>
      <c r="M215" s="6">
        <f t="shared" si="31"/>
        <v>300</v>
      </c>
      <c r="N215" s="8" t="s">
        <v>2934</v>
      </c>
      <c r="O215" s="149"/>
    </row>
    <row r="216" spans="1:15" s="9" customFormat="1" ht="16.5" customHeight="1">
      <c r="A216" s="2">
        <v>28</v>
      </c>
      <c r="B216" s="3">
        <v>7</v>
      </c>
      <c r="C216" s="3">
        <v>184</v>
      </c>
      <c r="D216" s="3" t="s">
        <v>14</v>
      </c>
      <c r="E216" s="3"/>
      <c r="F216" s="4"/>
      <c r="G216" s="5" t="s">
        <v>1112</v>
      </c>
      <c r="H216" s="4" t="s">
        <v>1113</v>
      </c>
      <c r="I216" s="3" t="s">
        <v>2800</v>
      </c>
      <c r="J216" s="3" t="s">
        <v>35</v>
      </c>
      <c r="K216" s="6">
        <v>500</v>
      </c>
      <c r="L216" s="6"/>
      <c r="M216" s="6">
        <f t="shared" si="31"/>
        <v>500</v>
      </c>
      <c r="N216" s="8" t="s">
        <v>2934</v>
      </c>
      <c r="O216" s="149"/>
    </row>
    <row r="217" spans="1:15" s="9" customFormat="1" ht="16.5" customHeight="1">
      <c r="A217" s="2">
        <v>28</v>
      </c>
      <c r="B217" s="3">
        <v>8</v>
      </c>
      <c r="C217" s="3">
        <v>185</v>
      </c>
      <c r="D217" s="3" t="s">
        <v>14</v>
      </c>
      <c r="E217" s="3"/>
      <c r="F217" s="4"/>
      <c r="G217" s="5" t="s">
        <v>1112</v>
      </c>
      <c r="H217" s="4" t="s">
        <v>1114</v>
      </c>
      <c r="I217" s="3" t="s">
        <v>2800</v>
      </c>
      <c r="J217" s="3" t="s">
        <v>35</v>
      </c>
      <c r="K217" s="6">
        <v>50</v>
      </c>
      <c r="L217" s="6"/>
      <c r="M217" s="6">
        <f t="shared" si="31"/>
        <v>50</v>
      </c>
      <c r="N217" s="8" t="s">
        <v>2934</v>
      </c>
      <c r="O217" s="149"/>
    </row>
    <row r="218" spans="1:15" s="9" customFormat="1" ht="16.5" customHeight="1">
      <c r="A218" s="2">
        <v>28</v>
      </c>
      <c r="B218" s="3">
        <v>9</v>
      </c>
      <c r="C218" s="3">
        <v>186</v>
      </c>
      <c r="D218" s="3" t="s">
        <v>14</v>
      </c>
      <c r="E218" s="3"/>
      <c r="F218" s="4"/>
      <c r="G218" s="5" t="s">
        <v>1115</v>
      </c>
      <c r="H218" s="4"/>
      <c r="I218" s="3" t="s">
        <v>2802</v>
      </c>
      <c r="J218" s="3" t="s">
        <v>35</v>
      </c>
      <c r="K218" s="6">
        <v>200</v>
      </c>
      <c r="L218" s="6"/>
      <c r="M218" s="6">
        <f t="shared" si="31"/>
        <v>200</v>
      </c>
      <c r="N218" s="8" t="s">
        <v>2934</v>
      </c>
      <c r="O218" s="149"/>
    </row>
    <row r="219" spans="1:15" s="9" customFormat="1" ht="16.5" customHeight="1">
      <c r="A219" s="2">
        <v>28</v>
      </c>
      <c r="B219" s="3">
        <v>10</v>
      </c>
      <c r="C219" s="3">
        <v>187</v>
      </c>
      <c r="D219" s="3" t="s">
        <v>14</v>
      </c>
      <c r="E219" s="3"/>
      <c r="F219" s="4"/>
      <c r="G219" s="5" t="s">
        <v>1116</v>
      </c>
      <c r="H219" s="4" t="s">
        <v>1117</v>
      </c>
      <c r="I219" s="3" t="s">
        <v>2803</v>
      </c>
      <c r="J219" s="3" t="s">
        <v>18</v>
      </c>
      <c r="K219" s="6">
        <v>1300</v>
      </c>
      <c r="L219" s="6"/>
      <c r="M219" s="6">
        <f t="shared" si="31"/>
        <v>1300</v>
      </c>
      <c r="N219" s="8" t="s">
        <v>2934</v>
      </c>
      <c r="O219" s="149"/>
    </row>
    <row r="220" spans="1:15" s="9" customFormat="1" ht="16.5" customHeight="1">
      <c r="A220" s="2">
        <v>28</v>
      </c>
      <c r="B220" s="3">
        <v>11</v>
      </c>
      <c r="C220" s="3">
        <v>188</v>
      </c>
      <c r="D220" s="3" t="s">
        <v>14</v>
      </c>
      <c r="E220" s="3"/>
      <c r="F220" s="4"/>
      <c r="G220" s="5" t="s">
        <v>1118</v>
      </c>
      <c r="H220" s="4" t="s">
        <v>1119</v>
      </c>
      <c r="I220" s="3" t="s">
        <v>2804</v>
      </c>
      <c r="J220" s="3" t="s">
        <v>35</v>
      </c>
      <c r="K220" s="6">
        <v>800</v>
      </c>
      <c r="L220" s="6"/>
      <c r="M220" s="6">
        <f t="shared" si="31"/>
        <v>800</v>
      </c>
      <c r="N220" s="8" t="s">
        <v>2934</v>
      </c>
      <c r="O220" s="149"/>
    </row>
    <row r="221" spans="1:15" s="9" customFormat="1" ht="16.5" customHeight="1">
      <c r="A221" s="2">
        <v>28</v>
      </c>
      <c r="B221" s="3">
        <v>12</v>
      </c>
      <c r="C221" s="3">
        <v>189</v>
      </c>
      <c r="D221" s="3" t="s">
        <v>2873</v>
      </c>
      <c r="E221" s="3" t="s">
        <v>2075</v>
      </c>
      <c r="F221" s="4" t="s">
        <v>1262</v>
      </c>
      <c r="G221" s="5" t="s">
        <v>1263</v>
      </c>
      <c r="H221" s="4" t="s">
        <v>396</v>
      </c>
      <c r="I221" s="3" t="s">
        <v>2874</v>
      </c>
      <c r="J221" s="3" t="s">
        <v>35</v>
      </c>
      <c r="K221" s="6">
        <v>20</v>
      </c>
      <c r="L221" s="6">
        <v>10</v>
      </c>
      <c r="M221" s="6">
        <f t="shared" si="31"/>
        <v>30</v>
      </c>
      <c r="N221" s="8">
        <v>6260</v>
      </c>
      <c r="O221" s="149"/>
    </row>
    <row r="222" spans="1:15" s="9" customFormat="1" ht="16.5" customHeight="1">
      <c r="A222" s="2">
        <v>28</v>
      </c>
      <c r="B222" s="3">
        <v>13</v>
      </c>
      <c r="C222" s="3">
        <v>190</v>
      </c>
      <c r="D222" s="3" t="s">
        <v>2376</v>
      </c>
      <c r="E222" s="3"/>
      <c r="F222" s="4" t="s">
        <v>1264</v>
      </c>
      <c r="G222" s="5" t="s">
        <v>1265</v>
      </c>
      <c r="H222" s="4" t="s">
        <v>1266</v>
      </c>
      <c r="I222" s="3" t="s">
        <v>2875</v>
      </c>
      <c r="J222" s="3" t="s">
        <v>85</v>
      </c>
      <c r="K222" s="6">
        <v>100</v>
      </c>
      <c r="L222" s="6"/>
      <c r="M222" s="6">
        <f t="shared" ref="M222:M257" si="36">K222+L222</f>
        <v>100</v>
      </c>
      <c r="N222" s="8">
        <v>26590</v>
      </c>
      <c r="O222" s="149"/>
    </row>
    <row r="223" spans="1:15" s="9" customFormat="1" ht="16.5" customHeight="1">
      <c r="A223" s="2">
        <v>28</v>
      </c>
      <c r="B223" s="3">
        <v>14</v>
      </c>
      <c r="C223" s="3">
        <v>191</v>
      </c>
      <c r="D223" s="3" t="s">
        <v>2876</v>
      </c>
      <c r="E223" s="3"/>
      <c r="F223" s="4"/>
      <c r="G223" s="5" t="s">
        <v>1267</v>
      </c>
      <c r="H223" s="4" t="s">
        <v>1268</v>
      </c>
      <c r="I223" s="3" t="s">
        <v>2877</v>
      </c>
      <c r="J223" s="3" t="s">
        <v>85</v>
      </c>
      <c r="K223" s="6">
        <v>200</v>
      </c>
      <c r="L223" s="6"/>
      <c r="M223" s="6">
        <f t="shared" si="36"/>
        <v>200</v>
      </c>
      <c r="N223" s="8" t="s">
        <v>2934</v>
      </c>
      <c r="O223" s="149"/>
    </row>
    <row r="224" spans="1:15" s="9" customFormat="1" ht="16.5" customHeight="1">
      <c r="A224" s="2">
        <v>28</v>
      </c>
      <c r="B224" s="3">
        <v>15</v>
      </c>
      <c r="C224" s="3">
        <v>192</v>
      </c>
      <c r="D224" s="3" t="s">
        <v>2876</v>
      </c>
      <c r="E224" s="3"/>
      <c r="F224" s="4"/>
      <c r="G224" s="5" t="s">
        <v>1267</v>
      </c>
      <c r="H224" s="4" t="s">
        <v>1268</v>
      </c>
      <c r="I224" s="3" t="s">
        <v>2878</v>
      </c>
      <c r="J224" s="3" t="s">
        <v>85</v>
      </c>
      <c r="K224" s="6">
        <v>600</v>
      </c>
      <c r="L224" s="6"/>
      <c r="M224" s="6">
        <f t="shared" si="36"/>
        <v>600</v>
      </c>
      <c r="N224" s="8" t="s">
        <v>2934</v>
      </c>
      <c r="O224" s="149"/>
    </row>
    <row r="225" spans="1:15" s="9" customFormat="1" ht="16.5" customHeight="1">
      <c r="A225" s="2">
        <v>28</v>
      </c>
      <c r="B225" s="3">
        <v>16</v>
      </c>
      <c r="C225" s="3">
        <v>193</v>
      </c>
      <c r="D225" s="3" t="s">
        <v>2879</v>
      </c>
      <c r="E225" s="3"/>
      <c r="F225" s="4"/>
      <c r="G225" s="5" t="s">
        <v>1269</v>
      </c>
      <c r="H225" s="4" t="s">
        <v>1270</v>
      </c>
      <c r="I225" s="3" t="s">
        <v>2880</v>
      </c>
      <c r="J225" s="3" t="s">
        <v>1271</v>
      </c>
      <c r="K225" s="6">
        <v>10</v>
      </c>
      <c r="L225" s="6"/>
      <c r="M225" s="6">
        <f t="shared" si="36"/>
        <v>10</v>
      </c>
      <c r="N225" s="8" t="s">
        <v>2934</v>
      </c>
      <c r="O225" s="149"/>
    </row>
    <row r="226" spans="1:15" s="9" customFormat="1" ht="16.5" customHeight="1">
      <c r="A226" s="2">
        <v>28</v>
      </c>
      <c r="B226" s="3">
        <v>17</v>
      </c>
      <c r="C226" s="3">
        <v>194</v>
      </c>
      <c r="D226" s="3" t="s">
        <v>2881</v>
      </c>
      <c r="E226" s="3"/>
      <c r="F226" s="4"/>
      <c r="G226" s="5" t="s">
        <v>1272</v>
      </c>
      <c r="H226" s="4"/>
      <c r="I226" s="3" t="s">
        <v>2882</v>
      </c>
      <c r="J226" s="3" t="s">
        <v>85</v>
      </c>
      <c r="K226" s="6">
        <v>100</v>
      </c>
      <c r="L226" s="6"/>
      <c r="M226" s="6">
        <f t="shared" si="36"/>
        <v>100</v>
      </c>
      <c r="N226" s="8" t="s">
        <v>2934</v>
      </c>
      <c r="O226" s="149"/>
    </row>
    <row r="227" spans="1:15" s="48" customFormat="1" ht="16.5" customHeight="1">
      <c r="A227" s="13"/>
      <c r="B227" s="14"/>
      <c r="C227" s="14"/>
      <c r="D227" s="14"/>
      <c r="E227" s="14"/>
      <c r="F227" s="15"/>
      <c r="G227" s="16"/>
      <c r="H227" s="15"/>
      <c r="I227" s="15"/>
      <c r="J227" s="14"/>
      <c r="K227" s="157">
        <f>SUM(K210:K226)</f>
        <v>8070</v>
      </c>
      <c r="L227" s="157">
        <f t="shared" ref="L227:M227" si="37">SUM(L210:L226)</f>
        <v>260</v>
      </c>
      <c r="M227" s="157">
        <f t="shared" si="37"/>
        <v>8330</v>
      </c>
      <c r="N227" s="17"/>
      <c r="O227" s="145"/>
    </row>
    <row r="228" spans="1:15" ht="16.5" customHeight="1">
      <c r="A228" s="2">
        <v>29</v>
      </c>
      <c r="B228" s="3">
        <v>1</v>
      </c>
      <c r="C228" s="3">
        <v>195</v>
      </c>
      <c r="D228" s="3" t="s">
        <v>474</v>
      </c>
      <c r="E228" s="3"/>
      <c r="F228" s="4" t="s">
        <v>1376</v>
      </c>
      <c r="G228" s="40" t="s">
        <v>1377</v>
      </c>
      <c r="H228" s="23" t="s">
        <v>1378</v>
      </c>
      <c r="I228" s="30" t="s">
        <v>1379</v>
      </c>
      <c r="J228" s="3" t="s">
        <v>79</v>
      </c>
      <c r="K228" s="6">
        <v>8</v>
      </c>
      <c r="L228" s="6"/>
      <c r="M228" s="6">
        <f t="shared" si="36"/>
        <v>8</v>
      </c>
      <c r="N228" s="64">
        <v>52870</v>
      </c>
      <c r="O228" s="144"/>
    </row>
    <row r="229" spans="1:15" ht="16.5" customHeight="1">
      <c r="A229" s="2">
        <v>29</v>
      </c>
      <c r="B229" s="3">
        <v>2</v>
      </c>
      <c r="C229" s="3">
        <v>196</v>
      </c>
      <c r="D229" s="3" t="s">
        <v>474</v>
      </c>
      <c r="E229" s="3"/>
      <c r="F229" s="4" t="s">
        <v>1376</v>
      </c>
      <c r="G229" s="40" t="s">
        <v>1380</v>
      </c>
      <c r="H229" s="23" t="s">
        <v>1381</v>
      </c>
      <c r="I229" s="30" t="s">
        <v>1379</v>
      </c>
      <c r="J229" s="3" t="s">
        <v>79</v>
      </c>
      <c r="K229" s="6">
        <v>6</v>
      </c>
      <c r="L229" s="6"/>
      <c r="M229" s="6">
        <f t="shared" si="36"/>
        <v>6</v>
      </c>
      <c r="N229" s="64">
        <v>52870</v>
      </c>
      <c r="O229" s="144"/>
    </row>
    <row r="230" spans="1:15" ht="16.5" customHeight="1">
      <c r="A230" s="2">
        <v>29</v>
      </c>
      <c r="B230" s="3">
        <v>3</v>
      </c>
      <c r="C230" s="3">
        <v>197</v>
      </c>
      <c r="D230" s="3" t="s">
        <v>474</v>
      </c>
      <c r="E230" s="3"/>
      <c r="F230" s="4" t="s">
        <v>1382</v>
      </c>
      <c r="G230" s="40" t="s">
        <v>1383</v>
      </c>
      <c r="H230" s="23" t="s">
        <v>1384</v>
      </c>
      <c r="I230" s="30" t="s">
        <v>1379</v>
      </c>
      <c r="J230" s="3" t="s">
        <v>79</v>
      </c>
      <c r="K230" s="6">
        <v>20</v>
      </c>
      <c r="L230" s="6"/>
      <c r="M230" s="6">
        <f t="shared" si="36"/>
        <v>20</v>
      </c>
      <c r="N230" s="64">
        <v>45390</v>
      </c>
      <c r="O230" s="144"/>
    </row>
    <row r="231" spans="1:15" ht="16.5" customHeight="1">
      <c r="A231" s="2">
        <v>29</v>
      </c>
      <c r="B231" s="3">
        <v>4</v>
      </c>
      <c r="C231" s="3">
        <v>198</v>
      </c>
      <c r="D231" s="3" t="s">
        <v>474</v>
      </c>
      <c r="E231" s="3"/>
      <c r="F231" s="4" t="s">
        <v>1376</v>
      </c>
      <c r="G231" s="40" t="s">
        <v>1385</v>
      </c>
      <c r="H231" s="23" t="s">
        <v>1386</v>
      </c>
      <c r="I231" s="30" t="s">
        <v>1379</v>
      </c>
      <c r="J231" s="3" t="s">
        <v>79</v>
      </c>
      <c r="K231" s="6">
        <v>200</v>
      </c>
      <c r="L231" s="6"/>
      <c r="M231" s="6">
        <f t="shared" si="36"/>
        <v>200</v>
      </c>
      <c r="N231" s="64">
        <v>52870</v>
      </c>
      <c r="O231" s="144"/>
    </row>
    <row r="232" spans="1:15" ht="16.5" customHeight="1">
      <c r="A232" s="2">
        <v>29</v>
      </c>
      <c r="B232" s="3">
        <v>5</v>
      </c>
      <c r="C232" s="3">
        <v>199</v>
      </c>
      <c r="D232" s="3" t="s">
        <v>474</v>
      </c>
      <c r="E232" s="3"/>
      <c r="F232" s="4" t="s">
        <v>1387</v>
      </c>
      <c r="G232" s="40" t="s">
        <v>1388</v>
      </c>
      <c r="H232" s="23" t="s">
        <v>1389</v>
      </c>
      <c r="I232" s="30" t="s">
        <v>1379</v>
      </c>
      <c r="J232" s="3" t="s">
        <v>79</v>
      </c>
      <c r="K232" s="6">
        <v>50</v>
      </c>
      <c r="L232" s="6"/>
      <c r="M232" s="6">
        <f t="shared" si="36"/>
        <v>50</v>
      </c>
      <c r="N232" s="64">
        <v>52870</v>
      </c>
      <c r="O232" s="144"/>
    </row>
    <row r="233" spans="1:15" ht="16.5" customHeight="1">
      <c r="A233" s="2">
        <v>29</v>
      </c>
      <c r="B233" s="3">
        <v>6</v>
      </c>
      <c r="C233" s="3">
        <v>200</v>
      </c>
      <c r="D233" s="3" t="s">
        <v>474</v>
      </c>
      <c r="E233" s="3"/>
      <c r="F233" s="4" t="s">
        <v>1382</v>
      </c>
      <c r="G233" s="40" t="s">
        <v>1390</v>
      </c>
      <c r="H233" s="23" t="s">
        <v>1391</v>
      </c>
      <c r="I233" s="30" t="s">
        <v>1379</v>
      </c>
      <c r="J233" s="3" t="s">
        <v>79</v>
      </c>
      <c r="K233" s="6">
        <v>180</v>
      </c>
      <c r="L233" s="6"/>
      <c r="M233" s="6">
        <f t="shared" si="36"/>
        <v>180</v>
      </c>
      <c r="N233" s="64">
        <v>45390</v>
      </c>
      <c r="O233" s="144"/>
    </row>
    <row r="234" spans="1:15" ht="16.5" customHeight="1">
      <c r="A234" s="2">
        <v>29</v>
      </c>
      <c r="B234" s="3">
        <v>7</v>
      </c>
      <c r="C234" s="3">
        <v>201</v>
      </c>
      <c r="D234" s="3" t="s">
        <v>474</v>
      </c>
      <c r="E234" s="3"/>
      <c r="F234" s="4" t="s">
        <v>1376</v>
      </c>
      <c r="G234" s="40" t="s">
        <v>1392</v>
      </c>
      <c r="H234" s="23" t="s">
        <v>1393</v>
      </c>
      <c r="I234" s="30" t="s">
        <v>1379</v>
      </c>
      <c r="J234" s="3" t="s">
        <v>79</v>
      </c>
      <c r="K234" s="6">
        <v>50</v>
      </c>
      <c r="L234" s="6"/>
      <c r="M234" s="6">
        <f t="shared" si="36"/>
        <v>50</v>
      </c>
      <c r="N234" s="64">
        <v>52870</v>
      </c>
      <c r="O234" s="144"/>
    </row>
    <row r="235" spans="1:15" ht="16.5" customHeight="1">
      <c r="A235" s="2">
        <v>29</v>
      </c>
      <c r="B235" s="3">
        <v>8</v>
      </c>
      <c r="C235" s="3">
        <v>202</v>
      </c>
      <c r="D235" s="3" t="s">
        <v>474</v>
      </c>
      <c r="E235" s="3"/>
      <c r="F235" s="4"/>
      <c r="G235" s="40" t="s">
        <v>1394</v>
      </c>
      <c r="H235" s="23" t="s">
        <v>1395</v>
      </c>
      <c r="I235" s="30" t="s">
        <v>1379</v>
      </c>
      <c r="J235" s="3" t="s">
        <v>79</v>
      </c>
      <c r="K235" s="6">
        <v>60</v>
      </c>
      <c r="L235" s="6"/>
      <c r="M235" s="6">
        <f t="shared" si="36"/>
        <v>60</v>
      </c>
      <c r="N235" s="64" t="s">
        <v>2934</v>
      </c>
      <c r="O235" s="144"/>
    </row>
    <row r="236" spans="1:15" ht="16.5" customHeight="1">
      <c r="A236" s="2">
        <v>29</v>
      </c>
      <c r="B236" s="3">
        <v>9</v>
      </c>
      <c r="C236" s="3">
        <v>203</v>
      </c>
      <c r="D236" s="3" t="s">
        <v>474</v>
      </c>
      <c r="E236" s="3"/>
      <c r="F236" s="4" t="s">
        <v>1396</v>
      </c>
      <c r="G236" s="40" t="s">
        <v>1397</v>
      </c>
      <c r="H236" s="23" t="s">
        <v>1398</v>
      </c>
      <c r="I236" s="30" t="s">
        <v>1379</v>
      </c>
      <c r="J236" s="3" t="s">
        <v>79</v>
      </c>
      <c r="K236" s="6">
        <v>30</v>
      </c>
      <c r="L236" s="6"/>
      <c r="M236" s="6">
        <f t="shared" si="36"/>
        <v>30</v>
      </c>
      <c r="N236" s="64" t="s">
        <v>19</v>
      </c>
      <c r="O236" s="144"/>
    </row>
    <row r="237" spans="1:15" ht="16.5" customHeight="1">
      <c r="A237" s="2">
        <v>29</v>
      </c>
      <c r="B237" s="3">
        <v>10</v>
      </c>
      <c r="C237" s="3">
        <v>204</v>
      </c>
      <c r="D237" s="3" t="s">
        <v>474</v>
      </c>
      <c r="E237" s="3"/>
      <c r="F237" s="4" t="s">
        <v>1399</v>
      </c>
      <c r="G237" s="40" t="s">
        <v>1400</v>
      </c>
      <c r="H237" s="23" t="s">
        <v>1401</v>
      </c>
      <c r="I237" s="30" t="s">
        <v>1379</v>
      </c>
      <c r="J237" s="3" t="s">
        <v>28</v>
      </c>
      <c r="K237" s="6">
        <v>80</v>
      </c>
      <c r="L237" s="6"/>
      <c r="M237" s="6">
        <f t="shared" si="36"/>
        <v>80</v>
      </c>
      <c r="N237" s="64"/>
      <c r="O237" s="144"/>
    </row>
    <row r="238" spans="1:15" ht="16.5" customHeight="1">
      <c r="A238" s="13"/>
      <c r="B238" s="14"/>
      <c r="C238" s="14"/>
      <c r="D238" s="14"/>
      <c r="E238" s="14"/>
      <c r="F238" s="15"/>
      <c r="G238" s="16"/>
      <c r="H238" s="15"/>
      <c r="I238" s="15"/>
      <c r="J238" s="14"/>
      <c r="K238" s="157">
        <f>SUM(K228:K237)</f>
        <v>684</v>
      </c>
      <c r="L238" s="157">
        <f t="shared" ref="L238:M238" si="38">SUM(L228:L237)</f>
        <v>0</v>
      </c>
      <c r="M238" s="157">
        <f t="shared" si="38"/>
        <v>684</v>
      </c>
      <c r="N238" s="17"/>
      <c r="O238" s="145"/>
    </row>
    <row r="239" spans="1:15" ht="16.5" customHeight="1">
      <c r="A239" s="45">
        <v>30</v>
      </c>
      <c r="B239" s="31">
        <v>1</v>
      </c>
      <c r="C239" s="31">
        <v>205</v>
      </c>
      <c r="D239" s="3" t="s">
        <v>1085</v>
      </c>
      <c r="E239" s="3"/>
      <c r="F239" s="4" t="s">
        <v>1255</v>
      </c>
      <c r="G239" s="18" t="s">
        <v>1256</v>
      </c>
      <c r="H239" s="4" t="s">
        <v>1257</v>
      </c>
      <c r="I239" s="4" t="s">
        <v>1258</v>
      </c>
      <c r="J239" s="3" t="s">
        <v>79</v>
      </c>
      <c r="K239" s="6">
        <v>500</v>
      </c>
      <c r="L239" s="6"/>
      <c r="M239" s="6">
        <f t="shared" si="36"/>
        <v>500</v>
      </c>
      <c r="N239" s="8">
        <v>64240</v>
      </c>
      <c r="O239" s="144"/>
    </row>
    <row r="240" spans="1:15" ht="16.5" customHeight="1">
      <c r="A240" s="45">
        <v>30</v>
      </c>
      <c r="B240" s="31">
        <v>2</v>
      </c>
      <c r="C240" s="31">
        <v>206</v>
      </c>
      <c r="D240" s="3" t="s">
        <v>1085</v>
      </c>
      <c r="E240" s="3"/>
      <c r="F240" s="4"/>
      <c r="G240" s="18" t="s">
        <v>1259</v>
      </c>
      <c r="H240" s="4" t="s">
        <v>1260</v>
      </c>
      <c r="I240" s="4" t="s">
        <v>1261</v>
      </c>
      <c r="J240" s="3" t="s">
        <v>79</v>
      </c>
      <c r="K240" s="6">
        <v>9000</v>
      </c>
      <c r="L240" s="6"/>
      <c r="M240" s="6">
        <f t="shared" si="36"/>
        <v>9000</v>
      </c>
      <c r="N240" s="8" t="s">
        <v>2934</v>
      </c>
      <c r="O240" s="144"/>
    </row>
    <row r="241" spans="1:15" ht="16.5" customHeight="1">
      <c r="A241" s="13"/>
      <c r="B241" s="14"/>
      <c r="C241" s="14"/>
      <c r="D241" s="14"/>
      <c r="E241" s="14"/>
      <c r="F241" s="15"/>
      <c r="G241" s="16"/>
      <c r="H241" s="15"/>
      <c r="I241" s="15"/>
      <c r="J241" s="14"/>
      <c r="K241" s="157">
        <f>SUM(K239:K240)</f>
        <v>9500</v>
      </c>
      <c r="L241" s="157">
        <f t="shared" ref="L241:M241" si="39">SUM(L239:L240)</f>
        <v>0</v>
      </c>
      <c r="M241" s="157">
        <f t="shared" si="39"/>
        <v>9500</v>
      </c>
      <c r="N241" s="17"/>
      <c r="O241" s="145"/>
    </row>
    <row r="242" spans="1:15" ht="16.5" customHeight="1">
      <c r="A242" s="2">
        <v>31</v>
      </c>
      <c r="B242" s="3">
        <v>1</v>
      </c>
      <c r="C242" s="3">
        <v>207</v>
      </c>
      <c r="D242" s="3" t="s">
        <v>626</v>
      </c>
      <c r="E242" s="3"/>
      <c r="F242" s="4"/>
      <c r="G242" s="18" t="s">
        <v>1502</v>
      </c>
      <c r="H242" s="4" t="s">
        <v>1503</v>
      </c>
      <c r="I242" s="68" t="s">
        <v>1504</v>
      </c>
      <c r="J242" s="68" t="s">
        <v>1004</v>
      </c>
      <c r="K242" s="6">
        <v>30</v>
      </c>
      <c r="L242" s="6"/>
      <c r="M242" s="6">
        <f t="shared" si="36"/>
        <v>30</v>
      </c>
      <c r="N242" s="8" t="s">
        <v>2934</v>
      </c>
      <c r="O242" s="144"/>
    </row>
    <row r="243" spans="1:15" ht="16.5" customHeight="1">
      <c r="A243" s="2">
        <v>31</v>
      </c>
      <c r="B243" s="3">
        <v>2</v>
      </c>
      <c r="C243" s="3">
        <v>208</v>
      </c>
      <c r="D243" s="3" t="s">
        <v>626</v>
      </c>
      <c r="E243" s="3"/>
      <c r="F243" s="4" t="s">
        <v>1505</v>
      </c>
      <c r="G243" s="18" t="s">
        <v>1506</v>
      </c>
      <c r="H243" s="4" t="s">
        <v>1507</v>
      </c>
      <c r="I243" s="68" t="s">
        <v>1508</v>
      </c>
      <c r="J243" s="68" t="s">
        <v>1004</v>
      </c>
      <c r="K243" s="6">
        <v>30</v>
      </c>
      <c r="L243" s="6"/>
      <c r="M243" s="6">
        <f t="shared" si="36"/>
        <v>30</v>
      </c>
      <c r="N243" s="8">
        <v>63630</v>
      </c>
      <c r="O243" s="144"/>
    </row>
    <row r="244" spans="1:15" ht="16.5" customHeight="1">
      <c r="A244" s="2">
        <v>31</v>
      </c>
      <c r="B244" s="3">
        <v>3</v>
      </c>
      <c r="C244" s="3">
        <v>209</v>
      </c>
      <c r="D244" s="3" t="s">
        <v>1509</v>
      </c>
      <c r="E244" s="3"/>
      <c r="F244" s="4" t="s">
        <v>1510</v>
      </c>
      <c r="G244" s="29" t="s">
        <v>1511</v>
      </c>
      <c r="H244" s="4" t="s">
        <v>84</v>
      </c>
      <c r="I244" s="4" t="s">
        <v>1512</v>
      </c>
      <c r="J244" s="3" t="s">
        <v>35</v>
      </c>
      <c r="K244" s="6">
        <v>400</v>
      </c>
      <c r="L244" s="6"/>
      <c r="M244" s="6">
        <f t="shared" si="36"/>
        <v>400</v>
      </c>
      <c r="N244" s="8">
        <v>3290</v>
      </c>
      <c r="O244" s="144"/>
    </row>
    <row r="245" spans="1:15" ht="16.5" customHeight="1">
      <c r="A245" s="2">
        <v>31</v>
      </c>
      <c r="B245" s="3">
        <v>4</v>
      </c>
      <c r="C245" s="3">
        <v>210</v>
      </c>
      <c r="D245" s="3" t="s">
        <v>626</v>
      </c>
      <c r="E245" s="3"/>
      <c r="F245" s="4" t="s">
        <v>1513</v>
      </c>
      <c r="G245" s="29" t="s">
        <v>1514</v>
      </c>
      <c r="H245" s="4" t="s">
        <v>1515</v>
      </c>
      <c r="I245" s="4" t="s">
        <v>1516</v>
      </c>
      <c r="J245" s="3" t="s">
        <v>35</v>
      </c>
      <c r="K245" s="6">
        <v>10</v>
      </c>
      <c r="L245" s="6"/>
      <c r="M245" s="6">
        <f t="shared" si="36"/>
        <v>10</v>
      </c>
      <c r="N245" s="8">
        <v>34310</v>
      </c>
      <c r="O245" s="144"/>
    </row>
    <row r="246" spans="1:15" ht="16.5" customHeight="1">
      <c r="A246" s="2">
        <v>31</v>
      </c>
      <c r="B246" s="3">
        <v>5</v>
      </c>
      <c r="C246" s="3">
        <v>211</v>
      </c>
      <c r="D246" s="3" t="s">
        <v>626</v>
      </c>
      <c r="E246" s="3"/>
      <c r="F246" s="4" t="s">
        <v>1517</v>
      </c>
      <c r="G246" s="29" t="s">
        <v>1514</v>
      </c>
      <c r="H246" s="4" t="s">
        <v>1518</v>
      </c>
      <c r="I246" s="4" t="s">
        <v>1516</v>
      </c>
      <c r="J246" s="3" t="s">
        <v>35</v>
      </c>
      <c r="K246" s="6">
        <v>70</v>
      </c>
      <c r="L246" s="6"/>
      <c r="M246" s="6">
        <f t="shared" si="36"/>
        <v>70</v>
      </c>
      <c r="N246" s="8">
        <v>15690</v>
      </c>
      <c r="O246" s="144"/>
    </row>
    <row r="247" spans="1:15" ht="16.5" customHeight="1">
      <c r="A247" s="2">
        <v>31</v>
      </c>
      <c r="B247" s="3">
        <v>6</v>
      </c>
      <c r="C247" s="3">
        <v>212</v>
      </c>
      <c r="D247" s="3" t="s">
        <v>626</v>
      </c>
      <c r="E247" s="3"/>
      <c r="F247" s="4" t="s">
        <v>1519</v>
      </c>
      <c r="G247" s="18" t="s">
        <v>1520</v>
      </c>
      <c r="H247" s="4" t="s">
        <v>84</v>
      </c>
      <c r="I247" s="4" t="s">
        <v>1521</v>
      </c>
      <c r="J247" s="3" t="s">
        <v>35</v>
      </c>
      <c r="K247" s="6">
        <v>50</v>
      </c>
      <c r="L247" s="6"/>
      <c r="M247" s="6">
        <f t="shared" si="36"/>
        <v>50</v>
      </c>
      <c r="N247" s="8">
        <v>31330</v>
      </c>
      <c r="O247" s="144"/>
    </row>
    <row r="248" spans="1:15" ht="17.25" customHeight="1">
      <c r="A248" s="2">
        <v>31</v>
      </c>
      <c r="B248" s="3">
        <v>7</v>
      </c>
      <c r="C248" s="3">
        <v>213</v>
      </c>
      <c r="D248" s="3" t="s">
        <v>626</v>
      </c>
      <c r="E248" s="3"/>
      <c r="F248" s="4" t="s">
        <v>1522</v>
      </c>
      <c r="G248" s="18" t="s">
        <v>1523</v>
      </c>
      <c r="H248" s="4" t="s">
        <v>84</v>
      </c>
      <c r="I248" s="4" t="s">
        <v>1521</v>
      </c>
      <c r="J248" s="3" t="s">
        <v>35</v>
      </c>
      <c r="K248" s="6">
        <v>150</v>
      </c>
      <c r="L248" s="6"/>
      <c r="M248" s="6">
        <f t="shared" si="36"/>
        <v>150</v>
      </c>
      <c r="N248" s="8">
        <v>47390</v>
      </c>
      <c r="O248" s="144"/>
    </row>
    <row r="249" spans="1:15" ht="17.25" customHeight="1">
      <c r="A249" s="2">
        <v>31</v>
      </c>
      <c r="B249" s="3">
        <v>8</v>
      </c>
      <c r="C249" s="3">
        <v>214</v>
      </c>
      <c r="D249" s="3" t="s">
        <v>626</v>
      </c>
      <c r="E249" s="3"/>
      <c r="F249" s="4" t="s">
        <v>1524</v>
      </c>
      <c r="G249" s="18" t="s">
        <v>1525</v>
      </c>
      <c r="H249" s="4" t="s">
        <v>84</v>
      </c>
      <c r="I249" s="4" t="s">
        <v>1521</v>
      </c>
      <c r="J249" s="3" t="s">
        <v>35</v>
      </c>
      <c r="K249" s="6">
        <v>50</v>
      </c>
      <c r="L249" s="6"/>
      <c r="M249" s="6">
        <f t="shared" si="36"/>
        <v>50</v>
      </c>
      <c r="N249" s="8">
        <v>49870</v>
      </c>
      <c r="O249" s="144"/>
    </row>
    <row r="250" spans="1:15" ht="17.25" customHeight="1">
      <c r="A250" s="2">
        <v>31</v>
      </c>
      <c r="B250" s="3">
        <v>9</v>
      </c>
      <c r="C250" s="3">
        <v>215</v>
      </c>
      <c r="D250" s="3" t="s">
        <v>626</v>
      </c>
      <c r="E250" s="3"/>
      <c r="F250" s="4" t="s">
        <v>1526</v>
      </c>
      <c r="G250" s="18" t="s">
        <v>1527</v>
      </c>
      <c r="H250" s="4" t="s">
        <v>84</v>
      </c>
      <c r="I250" s="4" t="s">
        <v>1521</v>
      </c>
      <c r="J250" s="3" t="s">
        <v>35</v>
      </c>
      <c r="K250" s="6">
        <v>80</v>
      </c>
      <c r="L250" s="6"/>
      <c r="M250" s="6">
        <f t="shared" si="36"/>
        <v>80</v>
      </c>
      <c r="N250" s="8">
        <v>60350</v>
      </c>
      <c r="O250" s="144"/>
    </row>
    <row r="251" spans="1:15" ht="17.25" customHeight="1">
      <c r="A251" s="2">
        <v>31</v>
      </c>
      <c r="B251" s="3">
        <v>10</v>
      </c>
      <c r="C251" s="3">
        <v>216</v>
      </c>
      <c r="D251" s="3" t="s">
        <v>626</v>
      </c>
      <c r="E251" s="3"/>
      <c r="F251" s="4"/>
      <c r="G251" s="18" t="s">
        <v>1528</v>
      </c>
      <c r="H251" s="4" t="s">
        <v>175</v>
      </c>
      <c r="I251" s="4" t="s">
        <v>1529</v>
      </c>
      <c r="J251" s="3" t="s">
        <v>28</v>
      </c>
      <c r="K251" s="6">
        <v>100</v>
      </c>
      <c r="L251" s="6"/>
      <c r="M251" s="6">
        <f t="shared" si="36"/>
        <v>100</v>
      </c>
      <c r="N251" s="8" t="s">
        <v>2934</v>
      </c>
      <c r="O251" s="144"/>
    </row>
    <row r="252" spans="1:15" ht="17.25" customHeight="1">
      <c r="A252" s="2">
        <v>31</v>
      </c>
      <c r="B252" s="3">
        <v>11</v>
      </c>
      <c r="C252" s="3">
        <v>217</v>
      </c>
      <c r="D252" s="3" t="s">
        <v>626</v>
      </c>
      <c r="E252" s="3"/>
      <c r="F252" s="4" t="s">
        <v>1530</v>
      </c>
      <c r="G252" s="18" t="s">
        <v>1531</v>
      </c>
      <c r="H252" s="4" t="s">
        <v>175</v>
      </c>
      <c r="I252" s="4" t="s">
        <v>1532</v>
      </c>
      <c r="J252" s="31" t="s">
        <v>28</v>
      </c>
      <c r="K252" s="41">
        <v>5</v>
      </c>
      <c r="L252" s="41"/>
      <c r="M252" s="6">
        <f t="shared" si="36"/>
        <v>5</v>
      </c>
      <c r="N252" s="8">
        <v>185580</v>
      </c>
      <c r="O252" s="151"/>
    </row>
    <row r="253" spans="1:15" ht="17.25" customHeight="1">
      <c r="A253" s="2">
        <v>31</v>
      </c>
      <c r="B253" s="3">
        <v>12</v>
      </c>
      <c r="C253" s="3">
        <v>218</v>
      </c>
      <c r="D253" s="3" t="s">
        <v>626</v>
      </c>
      <c r="E253" s="3"/>
      <c r="F253" s="4" t="s">
        <v>1533</v>
      </c>
      <c r="G253" s="18" t="s">
        <v>1534</v>
      </c>
      <c r="H253" s="4" t="s">
        <v>175</v>
      </c>
      <c r="I253" s="4" t="s">
        <v>1535</v>
      </c>
      <c r="J253" s="3" t="s">
        <v>28</v>
      </c>
      <c r="K253" s="6">
        <v>10</v>
      </c>
      <c r="L253" s="6"/>
      <c r="M253" s="6">
        <f t="shared" si="36"/>
        <v>10</v>
      </c>
      <c r="N253" s="8">
        <v>64610</v>
      </c>
      <c r="O253" s="144"/>
    </row>
    <row r="254" spans="1:15" ht="17.25" customHeight="1">
      <c r="A254" s="13"/>
      <c r="B254" s="14"/>
      <c r="C254" s="14"/>
      <c r="D254" s="14"/>
      <c r="E254" s="14"/>
      <c r="F254" s="15"/>
      <c r="G254" s="16"/>
      <c r="H254" s="15"/>
      <c r="I254" s="15"/>
      <c r="J254" s="14"/>
      <c r="K254" s="157">
        <f>SUM(K242:K253)</f>
        <v>985</v>
      </c>
      <c r="L254" s="157">
        <f t="shared" ref="L254:M254" si="40">SUM(L242:L253)</f>
        <v>0</v>
      </c>
      <c r="M254" s="157">
        <f t="shared" si="40"/>
        <v>985</v>
      </c>
      <c r="N254" s="17"/>
      <c r="O254" s="145"/>
    </row>
    <row r="255" spans="1:15">
      <c r="A255" s="2">
        <v>32</v>
      </c>
      <c r="B255" s="3">
        <v>1</v>
      </c>
      <c r="C255" s="3">
        <v>219</v>
      </c>
      <c r="D255" s="3" t="s">
        <v>2231</v>
      </c>
      <c r="E255" s="97"/>
      <c r="F255" s="4" t="s">
        <v>2996</v>
      </c>
      <c r="G255" s="63" t="s">
        <v>2997</v>
      </c>
      <c r="H255" s="4" t="s">
        <v>2998</v>
      </c>
      <c r="I255" s="4" t="s">
        <v>2999</v>
      </c>
      <c r="J255" s="3" t="s">
        <v>2051</v>
      </c>
      <c r="K255" s="6">
        <v>60</v>
      </c>
      <c r="L255" s="125"/>
      <c r="M255" s="6">
        <f t="shared" si="36"/>
        <v>60</v>
      </c>
      <c r="N255" s="8" t="s">
        <v>3000</v>
      </c>
      <c r="O255" s="144"/>
    </row>
    <row r="256" spans="1:15">
      <c r="A256" s="2">
        <v>32</v>
      </c>
      <c r="B256" s="3">
        <v>2</v>
      </c>
      <c r="C256" s="3">
        <v>220</v>
      </c>
      <c r="D256" s="3" t="s">
        <v>2231</v>
      </c>
      <c r="E256" s="97"/>
      <c r="F256" s="4"/>
      <c r="G256" s="18" t="s">
        <v>3001</v>
      </c>
      <c r="H256" s="4" t="s">
        <v>3002</v>
      </c>
      <c r="I256" s="4" t="s">
        <v>3003</v>
      </c>
      <c r="J256" s="3" t="s">
        <v>79</v>
      </c>
      <c r="K256" s="6">
        <v>60</v>
      </c>
      <c r="L256" s="125"/>
      <c r="M256" s="6">
        <f t="shared" si="36"/>
        <v>60</v>
      </c>
      <c r="N256" s="8"/>
      <c r="O256" s="144"/>
    </row>
    <row r="257" spans="1:15">
      <c r="A257" s="2">
        <v>32</v>
      </c>
      <c r="B257" s="3">
        <v>3</v>
      </c>
      <c r="C257" s="3">
        <v>221</v>
      </c>
      <c r="D257" s="3" t="s">
        <v>3004</v>
      </c>
      <c r="E257" s="97"/>
      <c r="F257" s="4"/>
      <c r="G257" s="18" t="s">
        <v>3005</v>
      </c>
      <c r="H257" s="4" t="s">
        <v>3006</v>
      </c>
      <c r="I257" s="4" t="s">
        <v>3003</v>
      </c>
      <c r="J257" s="3" t="s">
        <v>35</v>
      </c>
      <c r="K257" s="6">
        <v>60</v>
      </c>
      <c r="L257" s="125"/>
      <c r="M257" s="6">
        <f t="shared" si="36"/>
        <v>60</v>
      </c>
      <c r="N257" s="8"/>
      <c r="O257" s="144"/>
    </row>
    <row r="258" spans="1:15" ht="17.25" customHeight="1">
      <c r="A258" s="13"/>
      <c r="B258" s="14"/>
      <c r="C258" s="14"/>
      <c r="D258" s="14"/>
      <c r="E258" s="14"/>
      <c r="F258" s="15"/>
      <c r="G258" s="16"/>
      <c r="H258" s="15"/>
      <c r="I258" s="15"/>
      <c r="J258" s="14"/>
      <c r="K258" s="157">
        <f>SUM(K255:K257)</f>
        <v>180</v>
      </c>
      <c r="L258" s="157">
        <f t="shared" ref="L258:M258" si="41">SUM(L255:L257)</f>
        <v>0</v>
      </c>
      <c r="M258" s="157">
        <f t="shared" si="41"/>
        <v>180</v>
      </c>
      <c r="N258" s="17"/>
      <c r="O258" s="145"/>
    </row>
    <row r="259" spans="1:15" ht="17.25" customHeight="1">
      <c r="A259" s="106"/>
      <c r="B259" s="107"/>
      <c r="C259" s="107"/>
      <c r="D259" s="107"/>
      <c r="E259" s="107"/>
      <c r="F259" s="108"/>
      <c r="G259" s="106" t="s">
        <v>2986</v>
      </c>
      <c r="H259" s="108"/>
      <c r="I259" s="108"/>
      <c r="J259" s="107"/>
      <c r="K259" s="109"/>
      <c r="L259" s="109"/>
      <c r="M259" s="109"/>
      <c r="N259" s="110"/>
      <c r="O259" s="143"/>
    </row>
    <row r="260" spans="1:15" ht="17.25" customHeight="1">
      <c r="A260" s="2">
        <v>33</v>
      </c>
      <c r="B260" s="3">
        <v>1</v>
      </c>
      <c r="C260" s="3">
        <v>222</v>
      </c>
      <c r="D260" s="3" t="s">
        <v>1198</v>
      </c>
      <c r="E260" s="3"/>
      <c r="F260" s="71"/>
      <c r="G260" s="29" t="s">
        <v>1555</v>
      </c>
      <c r="H260" s="21" t="s">
        <v>1556</v>
      </c>
      <c r="I260" s="28" t="s">
        <v>1556</v>
      </c>
      <c r="J260" s="28" t="s">
        <v>85</v>
      </c>
      <c r="K260" s="6">
        <v>20</v>
      </c>
      <c r="L260" s="6"/>
      <c r="M260" s="6">
        <f t="shared" ref="M260:M291" si="42">K260+L260</f>
        <v>20</v>
      </c>
      <c r="N260" s="8" t="s">
        <v>2934</v>
      </c>
      <c r="O260" s="144"/>
    </row>
    <row r="261" spans="1:15" ht="17.25" customHeight="1">
      <c r="A261" s="2">
        <v>33</v>
      </c>
      <c r="B261" s="3">
        <v>2</v>
      </c>
      <c r="C261" s="3">
        <v>223</v>
      </c>
      <c r="D261" s="3" t="s">
        <v>1198</v>
      </c>
      <c r="E261" s="3"/>
      <c r="F261" s="71"/>
      <c r="G261" s="29" t="s">
        <v>1557</v>
      </c>
      <c r="H261" s="21" t="s">
        <v>1558</v>
      </c>
      <c r="I261" s="28" t="s">
        <v>1556</v>
      </c>
      <c r="J261" s="28" t="s">
        <v>85</v>
      </c>
      <c r="K261" s="6">
        <v>10</v>
      </c>
      <c r="L261" s="6"/>
      <c r="M261" s="6">
        <f t="shared" si="42"/>
        <v>10</v>
      </c>
      <c r="N261" s="8" t="s">
        <v>2934</v>
      </c>
      <c r="O261" s="144"/>
    </row>
    <row r="262" spans="1:15" ht="17.25" customHeight="1">
      <c r="A262" s="2">
        <v>33</v>
      </c>
      <c r="B262" s="3">
        <v>3</v>
      </c>
      <c r="C262" s="3">
        <v>224</v>
      </c>
      <c r="D262" s="3" t="s">
        <v>75</v>
      </c>
      <c r="E262" s="3"/>
      <c r="F262" s="71"/>
      <c r="G262" s="32" t="s">
        <v>1559</v>
      </c>
      <c r="H262" s="30" t="s">
        <v>84</v>
      </c>
      <c r="I262" s="31" t="s">
        <v>1560</v>
      </c>
      <c r="J262" s="31" t="s">
        <v>85</v>
      </c>
      <c r="K262" s="6">
        <v>90</v>
      </c>
      <c r="L262" s="6"/>
      <c r="M262" s="6">
        <f t="shared" si="42"/>
        <v>90</v>
      </c>
      <c r="N262" s="8" t="s">
        <v>2934</v>
      </c>
      <c r="O262" s="152"/>
    </row>
    <row r="263" spans="1:15" s="48" customFormat="1" ht="16.5" customHeight="1">
      <c r="A263" s="2">
        <v>33</v>
      </c>
      <c r="B263" s="3">
        <v>4</v>
      </c>
      <c r="C263" s="3">
        <v>225</v>
      </c>
      <c r="D263" s="3" t="s">
        <v>1561</v>
      </c>
      <c r="E263" s="3"/>
      <c r="F263" s="3" t="s">
        <v>1562</v>
      </c>
      <c r="G263" s="29" t="s">
        <v>1563</v>
      </c>
      <c r="H263" s="21" t="s">
        <v>84</v>
      </c>
      <c r="I263" s="28" t="s">
        <v>1564</v>
      </c>
      <c r="J263" s="28" t="s">
        <v>85</v>
      </c>
      <c r="K263" s="6">
        <v>90</v>
      </c>
      <c r="L263" s="6"/>
      <c r="M263" s="6">
        <f t="shared" si="42"/>
        <v>90</v>
      </c>
      <c r="N263" s="8">
        <v>31330</v>
      </c>
      <c r="O263" s="151"/>
    </row>
    <row r="264" spans="1:15" s="48" customFormat="1" ht="16.5" customHeight="1">
      <c r="A264" s="2">
        <v>33</v>
      </c>
      <c r="B264" s="3">
        <v>5</v>
      </c>
      <c r="C264" s="3">
        <v>226</v>
      </c>
      <c r="D264" s="3" t="s">
        <v>1198</v>
      </c>
      <c r="E264" s="3"/>
      <c r="F264" s="3"/>
      <c r="G264" s="72" t="s">
        <v>1565</v>
      </c>
      <c r="H264" s="73" t="s">
        <v>1566</v>
      </c>
      <c r="I264" s="28"/>
      <c r="J264" s="28" t="s">
        <v>28</v>
      </c>
      <c r="K264" s="6">
        <v>10</v>
      </c>
      <c r="L264" s="6"/>
      <c r="M264" s="6">
        <f t="shared" si="42"/>
        <v>10</v>
      </c>
      <c r="N264" s="8" t="s">
        <v>2934</v>
      </c>
      <c r="O264" s="151"/>
    </row>
    <row r="265" spans="1:15" s="48" customFormat="1" ht="16.5" customHeight="1">
      <c r="A265" s="2">
        <v>33</v>
      </c>
      <c r="B265" s="3">
        <v>6</v>
      </c>
      <c r="C265" s="3">
        <v>227</v>
      </c>
      <c r="D265" s="3" t="s">
        <v>14</v>
      </c>
      <c r="E265" s="3"/>
      <c r="F265" s="4" t="s">
        <v>1567</v>
      </c>
      <c r="G265" s="18" t="s">
        <v>1568</v>
      </c>
      <c r="H265" s="4" t="s">
        <v>1569</v>
      </c>
      <c r="I265" s="4" t="s">
        <v>1159</v>
      </c>
      <c r="J265" s="3" t="s">
        <v>35</v>
      </c>
      <c r="K265" s="6">
        <v>100</v>
      </c>
      <c r="L265" s="6"/>
      <c r="M265" s="6">
        <f t="shared" si="42"/>
        <v>100</v>
      </c>
      <c r="N265" s="11" t="s">
        <v>19</v>
      </c>
      <c r="O265" s="144"/>
    </row>
    <row r="266" spans="1:15" s="48" customFormat="1" ht="16.5" customHeight="1">
      <c r="A266" s="2">
        <v>33</v>
      </c>
      <c r="B266" s="3">
        <v>7</v>
      </c>
      <c r="C266" s="3">
        <v>228</v>
      </c>
      <c r="D266" s="3" t="s">
        <v>14</v>
      </c>
      <c r="E266" s="3"/>
      <c r="F266" s="4" t="s">
        <v>1570</v>
      </c>
      <c r="G266" s="18" t="s">
        <v>1571</v>
      </c>
      <c r="H266" s="4" t="s">
        <v>1572</v>
      </c>
      <c r="I266" s="4" t="s">
        <v>1157</v>
      </c>
      <c r="J266" s="3" t="s">
        <v>35</v>
      </c>
      <c r="K266" s="6">
        <v>60</v>
      </c>
      <c r="L266" s="6"/>
      <c r="M266" s="6">
        <f t="shared" si="42"/>
        <v>60</v>
      </c>
      <c r="N266" s="11" t="s">
        <v>19</v>
      </c>
      <c r="O266" s="144"/>
    </row>
    <row r="267" spans="1:15" s="48" customFormat="1" ht="16.5" customHeight="1">
      <c r="A267" s="2">
        <v>33</v>
      </c>
      <c r="B267" s="3">
        <v>8</v>
      </c>
      <c r="C267" s="3">
        <v>229</v>
      </c>
      <c r="D267" s="3" t="s">
        <v>1198</v>
      </c>
      <c r="E267" s="3"/>
      <c r="F267" s="3"/>
      <c r="G267" s="72" t="s">
        <v>1573</v>
      </c>
      <c r="H267" s="73" t="s">
        <v>1558</v>
      </c>
      <c r="I267" s="31" t="s">
        <v>1556</v>
      </c>
      <c r="J267" s="31" t="s">
        <v>85</v>
      </c>
      <c r="K267" s="74">
        <v>10</v>
      </c>
      <c r="L267" s="74"/>
      <c r="M267" s="6">
        <f t="shared" si="42"/>
        <v>10</v>
      </c>
      <c r="N267" s="8" t="s">
        <v>2934</v>
      </c>
      <c r="O267" s="144"/>
    </row>
    <row r="268" spans="1:15" s="48" customFormat="1" ht="16.5" customHeight="1">
      <c r="A268" s="13"/>
      <c r="B268" s="14"/>
      <c r="C268" s="14"/>
      <c r="D268" s="14"/>
      <c r="E268" s="14"/>
      <c r="F268" s="15"/>
      <c r="G268" s="16"/>
      <c r="H268" s="15"/>
      <c r="I268" s="15"/>
      <c r="J268" s="14"/>
      <c r="K268" s="157">
        <f>SUM(K260:K267)</f>
        <v>390</v>
      </c>
      <c r="L268" s="157">
        <f t="shared" ref="L268:M268" si="43">SUM(L260:L267)</f>
        <v>0</v>
      </c>
      <c r="M268" s="157">
        <f t="shared" si="43"/>
        <v>390</v>
      </c>
      <c r="N268" s="17"/>
      <c r="O268" s="145"/>
    </row>
    <row r="269" spans="1:15" ht="16.5" customHeight="1">
      <c r="A269" s="2">
        <v>34</v>
      </c>
      <c r="B269" s="3">
        <v>1</v>
      </c>
      <c r="C269" s="3">
        <v>230</v>
      </c>
      <c r="D269" s="3"/>
      <c r="E269" s="3" t="s">
        <v>2211</v>
      </c>
      <c r="F269" s="4"/>
      <c r="G269" s="18" t="s">
        <v>2212</v>
      </c>
      <c r="H269" s="4" t="s">
        <v>2213</v>
      </c>
      <c r="I269" s="4" t="s">
        <v>2214</v>
      </c>
      <c r="J269" s="4" t="s">
        <v>85</v>
      </c>
      <c r="K269" s="6"/>
      <c r="L269" s="6">
        <v>250</v>
      </c>
      <c r="M269" s="6">
        <f t="shared" si="42"/>
        <v>250</v>
      </c>
      <c r="N269" s="8" t="s">
        <v>1700</v>
      </c>
      <c r="O269" s="144"/>
    </row>
    <row r="270" spans="1:15" ht="16.5" customHeight="1">
      <c r="A270" s="2">
        <v>34</v>
      </c>
      <c r="B270" s="3">
        <v>2</v>
      </c>
      <c r="C270" s="3">
        <v>231</v>
      </c>
      <c r="D270" s="3"/>
      <c r="E270" s="3" t="s">
        <v>2211</v>
      </c>
      <c r="F270" s="4"/>
      <c r="G270" s="18" t="s">
        <v>2215</v>
      </c>
      <c r="H270" s="4" t="s">
        <v>2216</v>
      </c>
      <c r="I270" s="4" t="s">
        <v>2214</v>
      </c>
      <c r="J270" s="4" t="s">
        <v>85</v>
      </c>
      <c r="K270" s="6"/>
      <c r="L270" s="6">
        <v>250</v>
      </c>
      <c r="M270" s="6">
        <f t="shared" si="42"/>
        <v>250</v>
      </c>
      <c r="N270" s="8" t="s">
        <v>1700</v>
      </c>
      <c r="O270" s="144"/>
    </row>
    <row r="271" spans="1:15" ht="16.5" customHeight="1">
      <c r="A271" s="2">
        <v>34</v>
      </c>
      <c r="B271" s="3">
        <v>3</v>
      </c>
      <c r="C271" s="3">
        <v>232</v>
      </c>
      <c r="D271" s="3"/>
      <c r="E271" s="3" t="s">
        <v>2217</v>
      </c>
      <c r="F271" s="4"/>
      <c r="G271" s="18" t="s">
        <v>2218</v>
      </c>
      <c r="H271" s="4" t="s">
        <v>2219</v>
      </c>
      <c r="I271" s="4" t="s">
        <v>2214</v>
      </c>
      <c r="J271" s="4" t="s">
        <v>85</v>
      </c>
      <c r="K271" s="6"/>
      <c r="L271" s="6">
        <v>100</v>
      </c>
      <c r="M271" s="6">
        <f t="shared" si="42"/>
        <v>100</v>
      </c>
      <c r="N271" s="8" t="s">
        <v>1700</v>
      </c>
      <c r="O271" s="144"/>
    </row>
    <row r="272" spans="1:15" ht="16.5" customHeight="1">
      <c r="A272" s="2">
        <v>34</v>
      </c>
      <c r="B272" s="3">
        <v>4</v>
      </c>
      <c r="C272" s="3">
        <v>233</v>
      </c>
      <c r="D272" s="3"/>
      <c r="E272" s="3" t="s">
        <v>2217</v>
      </c>
      <c r="F272" s="4" t="s">
        <v>2220</v>
      </c>
      <c r="G272" s="18" t="s">
        <v>2221</v>
      </c>
      <c r="H272" s="4" t="s">
        <v>2222</v>
      </c>
      <c r="I272" s="4" t="s">
        <v>2223</v>
      </c>
      <c r="J272" s="4" t="s">
        <v>85</v>
      </c>
      <c r="K272" s="6"/>
      <c r="L272" s="6">
        <v>4000</v>
      </c>
      <c r="M272" s="6">
        <f t="shared" si="42"/>
        <v>4000</v>
      </c>
      <c r="N272" s="8">
        <v>3380</v>
      </c>
      <c r="O272" s="144"/>
    </row>
    <row r="273" spans="1:15" s="48" customFormat="1" ht="16.5" customHeight="1">
      <c r="A273" s="13"/>
      <c r="B273" s="14"/>
      <c r="C273" s="14"/>
      <c r="D273" s="14"/>
      <c r="E273" s="14"/>
      <c r="F273" s="15"/>
      <c r="G273" s="16"/>
      <c r="H273" s="15"/>
      <c r="I273" s="15"/>
      <c r="J273" s="14"/>
      <c r="K273" s="157">
        <f>SUM(K269:K272)</f>
        <v>0</v>
      </c>
      <c r="L273" s="157">
        <f t="shared" ref="L273:M273" si="44">SUM(L269:L272)</f>
        <v>4600</v>
      </c>
      <c r="M273" s="157">
        <f t="shared" si="44"/>
        <v>4600</v>
      </c>
      <c r="N273" s="17"/>
      <c r="O273" s="145"/>
    </row>
    <row r="274" spans="1:15" s="9" customFormat="1" ht="24">
      <c r="A274" s="2">
        <v>35</v>
      </c>
      <c r="B274" s="3">
        <v>1</v>
      </c>
      <c r="C274" s="3">
        <v>234</v>
      </c>
      <c r="D274" s="3" t="s">
        <v>14</v>
      </c>
      <c r="E274" s="3"/>
      <c r="F274" s="39" t="s">
        <v>2994</v>
      </c>
      <c r="G274" s="18" t="s">
        <v>2993</v>
      </c>
      <c r="H274" s="4"/>
      <c r="I274" s="4" t="s">
        <v>949</v>
      </c>
      <c r="J274" s="3" t="s">
        <v>35</v>
      </c>
      <c r="K274" s="6">
        <v>15000</v>
      </c>
      <c r="L274" s="6"/>
      <c r="M274" s="6">
        <f t="shared" si="42"/>
        <v>15000</v>
      </c>
      <c r="N274" s="8">
        <v>2670</v>
      </c>
      <c r="O274" s="153"/>
    </row>
    <row r="275" spans="1:15" s="48" customFormat="1" ht="16.5" customHeight="1">
      <c r="A275" s="13"/>
      <c r="B275" s="14"/>
      <c r="C275" s="14"/>
      <c r="D275" s="14"/>
      <c r="E275" s="14"/>
      <c r="F275" s="15"/>
      <c r="G275" s="16"/>
      <c r="H275" s="15"/>
      <c r="I275" s="15"/>
      <c r="J275" s="14"/>
      <c r="K275" s="157">
        <f>SUM(K274)</f>
        <v>15000</v>
      </c>
      <c r="L275" s="157">
        <f t="shared" ref="L275:M275" si="45">SUM(L274)</f>
        <v>0</v>
      </c>
      <c r="M275" s="157">
        <f t="shared" si="45"/>
        <v>15000</v>
      </c>
      <c r="N275" s="17"/>
      <c r="O275" s="145"/>
    </row>
    <row r="276" spans="1:15" ht="16.5" customHeight="1">
      <c r="A276" s="2">
        <v>36</v>
      </c>
      <c r="B276" s="3">
        <v>1</v>
      </c>
      <c r="C276" s="3">
        <v>235</v>
      </c>
      <c r="D276" s="3" t="s">
        <v>75</v>
      </c>
      <c r="E276" s="3"/>
      <c r="F276" s="4" t="s">
        <v>1273</v>
      </c>
      <c r="G276" s="18" t="s">
        <v>1274</v>
      </c>
      <c r="H276" s="4" t="s">
        <v>1275</v>
      </c>
      <c r="I276" s="4" t="s">
        <v>1276</v>
      </c>
      <c r="J276" s="4" t="s">
        <v>35</v>
      </c>
      <c r="K276" s="6">
        <v>100</v>
      </c>
      <c r="L276" s="6"/>
      <c r="M276" s="6">
        <f t="shared" si="42"/>
        <v>100</v>
      </c>
      <c r="N276" s="8">
        <v>45390</v>
      </c>
      <c r="O276" s="144"/>
    </row>
    <row r="277" spans="1:15" ht="16.5" customHeight="1">
      <c r="A277" s="2">
        <v>36</v>
      </c>
      <c r="B277" s="3">
        <v>2</v>
      </c>
      <c r="C277" s="3">
        <v>236</v>
      </c>
      <c r="D277" s="3" t="s">
        <v>75</v>
      </c>
      <c r="E277" s="3"/>
      <c r="F277" s="4"/>
      <c r="G277" s="18" t="s">
        <v>1277</v>
      </c>
      <c r="H277" s="4" t="s">
        <v>1278</v>
      </c>
      <c r="I277" s="4" t="s">
        <v>1129</v>
      </c>
      <c r="J277" s="4" t="s">
        <v>35</v>
      </c>
      <c r="K277" s="6">
        <v>50</v>
      </c>
      <c r="L277" s="6"/>
      <c r="M277" s="6">
        <f t="shared" si="42"/>
        <v>50</v>
      </c>
      <c r="N277" s="8" t="s">
        <v>2934</v>
      </c>
      <c r="O277" s="144"/>
    </row>
    <row r="278" spans="1:15" ht="16.5" customHeight="1">
      <c r="A278" s="2">
        <v>36</v>
      </c>
      <c r="B278" s="3">
        <v>3</v>
      </c>
      <c r="C278" s="3">
        <v>237</v>
      </c>
      <c r="D278" s="3" t="s">
        <v>75</v>
      </c>
      <c r="E278" s="3"/>
      <c r="F278" s="4"/>
      <c r="G278" s="12" t="s">
        <v>1279</v>
      </c>
      <c r="H278" s="10" t="s">
        <v>175</v>
      </c>
      <c r="I278" s="10" t="s">
        <v>1280</v>
      </c>
      <c r="J278" s="10" t="s">
        <v>38</v>
      </c>
      <c r="K278" s="6">
        <v>50</v>
      </c>
      <c r="L278" s="6"/>
      <c r="M278" s="6">
        <f t="shared" si="42"/>
        <v>50</v>
      </c>
      <c r="N278" s="8" t="s">
        <v>2934</v>
      </c>
      <c r="O278" s="144"/>
    </row>
    <row r="279" spans="1:15" ht="36" customHeight="1">
      <c r="A279" s="2">
        <v>36</v>
      </c>
      <c r="B279" s="3">
        <v>4</v>
      </c>
      <c r="C279" s="3">
        <v>238</v>
      </c>
      <c r="D279" s="3"/>
      <c r="E279" s="3" t="s">
        <v>2072</v>
      </c>
      <c r="F279" s="4" t="s">
        <v>2892</v>
      </c>
      <c r="G279" s="63" t="s">
        <v>2898</v>
      </c>
      <c r="H279" s="39" t="s">
        <v>2902</v>
      </c>
      <c r="I279" s="4" t="s">
        <v>1276</v>
      </c>
      <c r="J279" s="4" t="s">
        <v>2224</v>
      </c>
      <c r="K279" s="6"/>
      <c r="L279" s="6">
        <f>20+3+10</f>
        <v>33</v>
      </c>
      <c r="M279" s="6">
        <f t="shared" si="42"/>
        <v>33</v>
      </c>
      <c r="N279" s="8">
        <v>45390</v>
      </c>
      <c r="O279" s="144" t="s">
        <v>2225</v>
      </c>
    </row>
    <row r="280" spans="1:15" ht="24" customHeight="1">
      <c r="A280" s="2">
        <v>36</v>
      </c>
      <c r="B280" s="3">
        <v>5</v>
      </c>
      <c r="C280" s="3">
        <v>239</v>
      </c>
      <c r="D280" s="3"/>
      <c r="E280" s="3" t="s">
        <v>2226</v>
      </c>
      <c r="F280" s="4" t="s">
        <v>2893</v>
      </c>
      <c r="G280" s="63" t="s">
        <v>2899</v>
      </c>
      <c r="H280" s="39" t="s">
        <v>2903</v>
      </c>
      <c r="I280" s="4" t="s">
        <v>1276</v>
      </c>
      <c r="J280" s="4" t="s">
        <v>2224</v>
      </c>
      <c r="K280" s="6"/>
      <c r="L280" s="6">
        <f>150+1</f>
        <v>151</v>
      </c>
      <c r="M280" s="6">
        <f t="shared" si="42"/>
        <v>151</v>
      </c>
      <c r="N280" s="8">
        <v>9060</v>
      </c>
      <c r="O280" s="144" t="s">
        <v>2227</v>
      </c>
    </row>
    <row r="281" spans="1:15" ht="36" customHeight="1">
      <c r="A281" s="2">
        <v>36</v>
      </c>
      <c r="B281" s="3">
        <v>6</v>
      </c>
      <c r="C281" s="3">
        <v>240</v>
      </c>
      <c r="D281" s="3"/>
      <c r="E281" s="3" t="s">
        <v>2228</v>
      </c>
      <c r="F281" s="4" t="s">
        <v>2894</v>
      </c>
      <c r="G281" s="63" t="s">
        <v>2900</v>
      </c>
      <c r="H281" s="39" t="s">
        <v>2901</v>
      </c>
      <c r="I281" s="4" t="s">
        <v>1276</v>
      </c>
      <c r="J281" s="4" t="s">
        <v>2224</v>
      </c>
      <c r="K281" s="6"/>
      <c r="L281" s="6">
        <f>100+100+50</f>
        <v>250</v>
      </c>
      <c r="M281" s="6">
        <f t="shared" si="42"/>
        <v>250</v>
      </c>
      <c r="N281" s="8">
        <v>35970</v>
      </c>
      <c r="O281" s="144" t="s">
        <v>2227</v>
      </c>
    </row>
    <row r="282" spans="1:15" ht="16.5" customHeight="1">
      <c r="A282" s="2">
        <v>36</v>
      </c>
      <c r="B282" s="3">
        <v>7</v>
      </c>
      <c r="C282" s="3">
        <v>241</v>
      </c>
      <c r="D282" s="3"/>
      <c r="E282" s="3" t="s">
        <v>2072</v>
      </c>
      <c r="F282" s="4"/>
      <c r="G282" s="18" t="s">
        <v>2229</v>
      </c>
      <c r="H282" s="4" t="s">
        <v>2230</v>
      </c>
      <c r="I282" s="4" t="s">
        <v>1276</v>
      </c>
      <c r="J282" s="4" t="s">
        <v>2224</v>
      </c>
      <c r="K282" s="6"/>
      <c r="L282" s="6">
        <v>20</v>
      </c>
      <c r="M282" s="6">
        <f t="shared" si="42"/>
        <v>20</v>
      </c>
      <c r="N282" s="8" t="s">
        <v>1700</v>
      </c>
      <c r="O282" s="144"/>
    </row>
    <row r="283" spans="1:15" ht="16.5" customHeight="1">
      <c r="A283" s="2">
        <v>36</v>
      </c>
      <c r="B283" s="3">
        <v>8</v>
      </c>
      <c r="C283" s="3">
        <v>242</v>
      </c>
      <c r="D283" s="3"/>
      <c r="E283" s="3" t="s">
        <v>2231</v>
      </c>
      <c r="F283" s="4"/>
      <c r="G283" s="18" t="s">
        <v>2232</v>
      </c>
      <c r="H283" s="4" t="s">
        <v>2233</v>
      </c>
      <c r="I283" s="4" t="s">
        <v>1276</v>
      </c>
      <c r="J283" s="4" t="s">
        <v>2224</v>
      </c>
      <c r="K283" s="6"/>
      <c r="L283" s="6">
        <v>40</v>
      </c>
      <c r="M283" s="6">
        <f t="shared" si="42"/>
        <v>40</v>
      </c>
      <c r="N283" s="8" t="s">
        <v>1700</v>
      </c>
      <c r="O283" s="144"/>
    </row>
    <row r="284" spans="1:15" ht="16.5" customHeight="1">
      <c r="A284" s="2">
        <v>36</v>
      </c>
      <c r="B284" s="3">
        <v>9</v>
      </c>
      <c r="C284" s="3">
        <v>243</v>
      </c>
      <c r="D284" s="3"/>
      <c r="E284" s="3" t="s">
        <v>2231</v>
      </c>
      <c r="F284" s="4"/>
      <c r="G284" s="18" t="s">
        <v>2234</v>
      </c>
      <c r="H284" s="4" t="s">
        <v>2235</v>
      </c>
      <c r="I284" s="4" t="s">
        <v>1276</v>
      </c>
      <c r="J284" s="4" t="s">
        <v>2224</v>
      </c>
      <c r="K284" s="6"/>
      <c r="L284" s="6">
        <v>20</v>
      </c>
      <c r="M284" s="6">
        <f t="shared" si="42"/>
        <v>20</v>
      </c>
      <c r="N284" s="8" t="s">
        <v>1700</v>
      </c>
      <c r="O284" s="144"/>
    </row>
    <row r="285" spans="1:15" ht="16.5" customHeight="1">
      <c r="A285" s="2">
        <v>36</v>
      </c>
      <c r="B285" s="3">
        <v>10</v>
      </c>
      <c r="C285" s="3">
        <v>244</v>
      </c>
      <c r="D285" s="3"/>
      <c r="E285" s="3" t="s">
        <v>2072</v>
      </c>
      <c r="F285" s="4"/>
      <c r="G285" s="18" t="s">
        <v>2236</v>
      </c>
      <c r="H285" s="4" t="s">
        <v>2237</v>
      </c>
      <c r="I285" s="4" t="s">
        <v>1276</v>
      </c>
      <c r="J285" s="4" t="s">
        <v>2224</v>
      </c>
      <c r="K285" s="6"/>
      <c r="L285" s="6">
        <v>10</v>
      </c>
      <c r="M285" s="6">
        <f t="shared" si="42"/>
        <v>10</v>
      </c>
      <c r="N285" s="8" t="s">
        <v>1700</v>
      </c>
      <c r="O285" s="144"/>
    </row>
    <row r="286" spans="1:15" ht="16.5" customHeight="1">
      <c r="A286" s="2">
        <v>36</v>
      </c>
      <c r="B286" s="3">
        <v>11</v>
      </c>
      <c r="C286" s="3">
        <v>245</v>
      </c>
      <c r="D286" s="3"/>
      <c r="E286" s="3" t="s">
        <v>2238</v>
      </c>
      <c r="F286" s="4"/>
      <c r="G286" s="18" t="s">
        <v>2239</v>
      </c>
      <c r="H286" s="4" t="s">
        <v>2240</v>
      </c>
      <c r="I286" s="4" t="s">
        <v>1276</v>
      </c>
      <c r="J286" s="4" t="s">
        <v>85</v>
      </c>
      <c r="K286" s="6"/>
      <c r="L286" s="6">
        <f>100+20</f>
        <v>120</v>
      </c>
      <c r="M286" s="6">
        <f t="shared" si="42"/>
        <v>120</v>
      </c>
      <c r="N286" s="8" t="s">
        <v>1700</v>
      </c>
      <c r="O286" s="144"/>
    </row>
    <row r="287" spans="1:15" ht="16.5" customHeight="1">
      <c r="A287" s="2">
        <v>36</v>
      </c>
      <c r="B287" s="3">
        <v>12</v>
      </c>
      <c r="C287" s="3">
        <v>246</v>
      </c>
      <c r="D287" s="3"/>
      <c r="E287" s="3" t="s">
        <v>2231</v>
      </c>
      <c r="F287" s="4"/>
      <c r="G287" s="18" t="s">
        <v>2241</v>
      </c>
      <c r="H287" s="4" t="s">
        <v>2242</v>
      </c>
      <c r="I287" s="4" t="s">
        <v>1276</v>
      </c>
      <c r="J287" s="4" t="s">
        <v>85</v>
      </c>
      <c r="K287" s="6"/>
      <c r="L287" s="6">
        <v>100</v>
      </c>
      <c r="M287" s="6">
        <f t="shared" si="42"/>
        <v>100</v>
      </c>
      <c r="N287" s="8" t="s">
        <v>1700</v>
      </c>
      <c r="O287" s="144"/>
    </row>
    <row r="288" spans="1:15" ht="16.5" customHeight="1">
      <c r="A288" s="2">
        <v>36</v>
      </c>
      <c r="B288" s="3">
        <v>13</v>
      </c>
      <c r="C288" s="3">
        <v>247</v>
      </c>
      <c r="D288" s="3"/>
      <c r="E288" s="3" t="s">
        <v>488</v>
      </c>
      <c r="F288" s="4" t="s">
        <v>2895</v>
      </c>
      <c r="G288" s="18" t="s">
        <v>2243</v>
      </c>
      <c r="H288" s="4" t="s">
        <v>2244</v>
      </c>
      <c r="I288" s="4" t="s">
        <v>2245</v>
      </c>
      <c r="J288" s="4" t="s">
        <v>1972</v>
      </c>
      <c r="K288" s="6"/>
      <c r="L288" s="6">
        <v>400</v>
      </c>
      <c r="M288" s="6">
        <f t="shared" si="42"/>
        <v>400</v>
      </c>
      <c r="N288" s="8">
        <v>3190</v>
      </c>
      <c r="O288" s="144"/>
    </row>
    <row r="289" spans="1:15" ht="16.5" customHeight="1">
      <c r="A289" s="2">
        <v>36</v>
      </c>
      <c r="B289" s="3">
        <v>14</v>
      </c>
      <c r="C289" s="3">
        <v>248</v>
      </c>
      <c r="D289" s="3"/>
      <c r="E289" s="3" t="s">
        <v>488</v>
      </c>
      <c r="F289" s="4" t="s">
        <v>2896</v>
      </c>
      <c r="G289" s="18" t="s">
        <v>2246</v>
      </c>
      <c r="H289" s="4" t="s">
        <v>2247</v>
      </c>
      <c r="I289" s="4" t="s">
        <v>2245</v>
      </c>
      <c r="J289" s="4" t="s">
        <v>1972</v>
      </c>
      <c r="K289" s="6"/>
      <c r="L289" s="6">
        <v>200</v>
      </c>
      <c r="M289" s="6">
        <f t="shared" si="42"/>
        <v>200</v>
      </c>
      <c r="N289" s="8">
        <v>5370</v>
      </c>
      <c r="O289" s="144"/>
    </row>
    <row r="290" spans="1:15" ht="16.5" customHeight="1">
      <c r="A290" s="2">
        <v>36</v>
      </c>
      <c r="B290" s="3">
        <v>15</v>
      </c>
      <c r="C290" s="3">
        <v>249</v>
      </c>
      <c r="D290" s="3"/>
      <c r="E290" s="3" t="s">
        <v>2248</v>
      </c>
      <c r="F290" s="4" t="s">
        <v>2897</v>
      </c>
      <c r="G290" s="18" t="s">
        <v>2249</v>
      </c>
      <c r="H290" s="4" t="s">
        <v>2250</v>
      </c>
      <c r="I290" s="4" t="s">
        <v>1276</v>
      </c>
      <c r="J290" s="4" t="s">
        <v>2251</v>
      </c>
      <c r="K290" s="6"/>
      <c r="L290" s="6">
        <f>20+50</f>
        <v>70</v>
      </c>
      <c r="M290" s="6">
        <f t="shared" si="42"/>
        <v>70</v>
      </c>
      <c r="N290" s="8">
        <v>19900</v>
      </c>
      <c r="O290" s="144"/>
    </row>
    <row r="291" spans="1:15" ht="16.5" customHeight="1">
      <c r="A291" s="2">
        <v>36</v>
      </c>
      <c r="B291" s="3">
        <v>16</v>
      </c>
      <c r="C291" s="3">
        <v>250</v>
      </c>
      <c r="D291" s="3"/>
      <c r="E291" s="3" t="s">
        <v>2252</v>
      </c>
      <c r="F291" s="4"/>
      <c r="G291" s="18" t="s">
        <v>2253</v>
      </c>
      <c r="H291" s="4" t="s">
        <v>2254</v>
      </c>
      <c r="I291" s="4" t="s">
        <v>1276</v>
      </c>
      <c r="J291" s="4" t="s">
        <v>2251</v>
      </c>
      <c r="K291" s="6"/>
      <c r="L291" s="6">
        <v>160</v>
      </c>
      <c r="M291" s="6">
        <f t="shared" si="42"/>
        <v>160</v>
      </c>
      <c r="N291" s="8" t="s">
        <v>1700</v>
      </c>
      <c r="O291" s="144"/>
    </row>
    <row r="292" spans="1:15" ht="16.5" customHeight="1">
      <c r="A292" s="2">
        <v>36</v>
      </c>
      <c r="B292" s="3">
        <v>17</v>
      </c>
      <c r="C292" s="3">
        <v>251</v>
      </c>
      <c r="D292" s="3"/>
      <c r="E292" s="3" t="s">
        <v>2252</v>
      </c>
      <c r="F292" s="4"/>
      <c r="G292" s="18" t="s">
        <v>2255</v>
      </c>
      <c r="H292" s="4" t="s">
        <v>2256</v>
      </c>
      <c r="I292" s="4" t="s">
        <v>1276</v>
      </c>
      <c r="J292" s="4" t="s">
        <v>1271</v>
      </c>
      <c r="K292" s="6"/>
      <c r="L292" s="6">
        <v>500</v>
      </c>
      <c r="M292" s="6">
        <f t="shared" ref="M292:M319" si="46">K292+L292</f>
        <v>500</v>
      </c>
      <c r="N292" s="8" t="s">
        <v>1700</v>
      </c>
      <c r="O292" s="144"/>
    </row>
    <row r="293" spans="1:15" ht="16.5" customHeight="1">
      <c r="A293" s="13"/>
      <c r="B293" s="14"/>
      <c r="C293" s="14"/>
      <c r="D293" s="14"/>
      <c r="E293" s="14"/>
      <c r="F293" s="15"/>
      <c r="G293" s="16"/>
      <c r="H293" s="15"/>
      <c r="I293" s="15"/>
      <c r="J293" s="14"/>
      <c r="K293" s="157">
        <f>SUM(K276:K292)</f>
        <v>200</v>
      </c>
      <c r="L293" s="157">
        <f t="shared" ref="L293:M293" si="47">SUM(L276:L292)</f>
        <v>2074</v>
      </c>
      <c r="M293" s="157">
        <f t="shared" si="47"/>
        <v>2274</v>
      </c>
      <c r="N293" s="17"/>
      <c r="O293" s="145"/>
    </row>
    <row r="294" spans="1:15" s="9" customFormat="1" ht="16.5" customHeight="1">
      <c r="A294" s="2">
        <v>37</v>
      </c>
      <c r="B294" s="3">
        <v>1</v>
      </c>
      <c r="C294" s="3">
        <v>252</v>
      </c>
      <c r="D294" s="3" t="s">
        <v>14</v>
      </c>
      <c r="E294" s="3"/>
      <c r="F294" s="4"/>
      <c r="G294" s="5" t="s">
        <v>1084</v>
      </c>
      <c r="H294" s="4" t="s">
        <v>396</v>
      </c>
      <c r="I294" s="3" t="s">
        <v>2776</v>
      </c>
      <c r="J294" s="3" t="s">
        <v>35</v>
      </c>
      <c r="K294" s="6">
        <v>70000</v>
      </c>
      <c r="L294" s="6"/>
      <c r="M294" s="6">
        <f t="shared" si="46"/>
        <v>70000</v>
      </c>
      <c r="N294" s="8" t="s">
        <v>2934</v>
      </c>
      <c r="O294" s="149"/>
    </row>
    <row r="295" spans="1:15" s="9" customFormat="1" ht="16.5" customHeight="1">
      <c r="A295" s="2">
        <v>37</v>
      </c>
      <c r="B295" s="3">
        <v>2</v>
      </c>
      <c r="C295" s="3">
        <v>253</v>
      </c>
      <c r="D295" s="3"/>
      <c r="E295" s="3" t="s">
        <v>488</v>
      </c>
      <c r="F295" s="4"/>
      <c r="G295" s="5" t="s">
        <v>2036</v>
      </c>
      <c r="H295" s="4" t="s">
        <v>2035</v>
      </c>
      <c r="I295" s="3" t="s">
        <v>2777</v>
      </c>
      <c r="J295" s="3" t="s">
        <v>206</v>
      </c>
      <c r="K295" s="6"/>
      <c r="L295" s="6">
        <v>1400</v>
      </c>
      <c r="M295" s="6">
        <f t="shared" si="46"/>
        <v>1400</v>
      </c>
      <c r="N295" s="8" t="s">
        <v>1700</v>
      </c>
      <c r="O295" s="149"/>
    </row>
    <row r="296" spans="1:15" ht="16.5" customHeight="1">
      <c r="A296" s="13"/>
      <c r="B296" s="14"/>
      <c r="C296" s="14"/>
      <c r="D296" s="14"/>
      <c r="E296" s="14"/>
      <c r="F296" s="15"/>
      <c r="G296" s="16"/>
      <c r="H296" s="15"/>
      <c r="I296" s="15"/>
      <c r="J296" s="14"/>
      <c r="K296" s="157">
        <f>SUM(K294:K295)</f>
        <v>70000</v>
      </c>
      <c r="L296" s="157">
        <f t="shared" ref="L296:M296" si="48">SUM(L294:L295)</f>
        <v>1400</v>
      </c>
      <c r="M296" s="157">
        <f t="shared" si="48"/>
        <v>71400</v>
      </c>
      <c r="N296" s="17"/>
      <c r="O296" s="145"/>
    </row>
    <row r="297" spans="1:15" s="9" customFormat="1" ht="16.5" customHeight="1">
      <c r="A297" s="2">
        <v>38</v>
      </c>
      <c r="B297" s="3">
        <v>1</v>
      </c>
      <c r="C297" s="3">
        <v>254</v>
      </c>
      <c r="D297" s="3" t="s">
        <v>14</v>
      </c>
      <c r="E297" s="3"/>
      <c r="F297" s="4"/>
      <c r="G297" s="18" t="s">
        <v>398</v>
      </c>
      <c r="H297" s="4"/>
      <c r="I297" s="4" t="s">
        <v>399</v>
      </c>
      <c r="J297" s="3" t="s">
        <v>18</v>
      </c>
      <c r="K297" s="19">
        <v>100</v>
      </c>
      <c r="L297" s="19"/>
      <c r="M297" s="6">
        <f t="shared" si="46"/>
        <v>100</v>
      </c>
      <c r="N297" s="8" t="s">
        <v>2934</v>
      </c>
      <c r="O297" s="149"/>
    </row>
    <row r="298" spans="1:15" s="9" customFormat="1" ht="18" customHeight="1">
      <c r="A298" s="2">
        <v>38</v>
      </c>
      <c r="B298" s="3">
        <v>2</v>
      </c>
      <c r="C298" s="3">
        <v>255</v>
      </c>
      <c r="D298" s="3" t="s">
        <v>14</v>
      </c>
      <c r="E298" s="3"/>
      <c r="F298" s="4"/>
      <c r="G298" s="18" t="s">
        <v>400</v>
      </c>
      <c r="H298" s="4"/>
      <c r="I298" s="4" t="s">
        <v>401</v>
      </c>
      <c r="J298" s="3" t="s">
        <v>402</v>
      </c>
      <c r="K298" s="19">
        <v>10</v>
      </c>
      <c r="L298" s="19"/>
      <c r="M298" s="6">
        <f t="shared" si="46"/>
        <v>10</v>
      </c>
      <c r="N298" s="8" t="s">
        <v>2934</v>
      </c>
      <c r="O298" s="149"/>
    </row>
    <row r="299" spans="1:15" s="9" customFormat="1" ht="16.5" customHeight="1">
      <c r="A299" s="2">
        <v>38</v>
      </c>
      <c r="B299" s="3">
        <v>3</v>
      </c>
      <c r="C299" s="3">
        <v>256</v>
      </c>
      <c r="D299" s="3" t="s">
        <v>14</v>
      </c>
      <c r="E299" s="3"/>
      <c r="F299" s="4"/>
      <c r="G299" s="18" t="s">
        <v>403</v>
      </c>
      <c r="H299" s="4" t="s">
        <v>404</v>
      </c>
      <c r="I299" s="4" t="s">
        <v>405</v>
      </c>
      <c r="J299" s="3" t="s">
        <v>310</v>
      </c>
      <c r="K299" s="19">
        <v>30</v>
      </c>
      <c r="L299" s="19"/>
      <c r="M299" s="6">
        <f t="shared" si="46"/>
        <v>30</v>
      </c>
      <c r="N299" s="8" t="s">
        <v>2934</v>
      </c>
      <c r="O299" s="149"/>
    </row>
    <row r="300" spans="1:15" s="9" customFormat="1" ht="16.5" customHeight="1">
      <c r="A300" s="2">
        <v>38</v>
      </c>
      <c r="B300" s="3">
        <v>4</v>
      </c>
      <c r="C300" s="3">
        <v>257</v>
      </c>
      <c r="D300" s="3" t="s">
        <v>75</v>
      </c>
      <c r="E300" s="3"/>
      <c r="F300" s="4"/>
      <c r="G300" s="18" t="s">
        <v>406</v>
      </c>
      <c r="H300" s="4" t="s">
        <v>407</v>
      </c>
      <c r="I300" s="4" t="s">
        <v>408</v>
      </c>
      <c r="J300" s="4" t="s">
        <v>79</v>
      </c>
      <c r="K300" s="19">
        <v>150</v>
      </c>
      <c r="L300" s="19"/>
      <c r="M300" s="6">
        <f t="shared" si="46"/>
        <v>150</v>
      </c>
      <c r="N300" s="8" t="s">
        <v>2934</v>
      </c>
      <c r="O300" s="149"/>
    </row>
    <row r="301" spans="1:15" s="9" customFormat="1" ht="16.5" customHeight="1">
      <c r="A301" s="2">
        <v>38</v>
      </c>
      <c r="B301" s="3">
        <v>5</v>
      </c>
      <c r="C301" s="3">
        <v>258</v>
      </c>
      <c r="D301" s="3" t="s">
        <v>75</v>
      </c>
      <c r="E301" s="3"/>
      <c r="F301" s="4" t="s">
        <v>409</v>
      </c>
      <c r="G301" s="18" t="s">
        <v>410</v>
      </c>
      <c r="H301" s="4" t="s">
        <v>411</v>
      </c>
      <c r="I301" s="4" t="s">
        <v>412</v>
      </c>
      <c r="J301" s="4" t="s">
        <v>413</v>
      </c>
      <c r="K301" s="19">
        <v>2</v>
      </c>
      <c r="L301" s="19"/>
      <c r="M301" s="6">
        <f t="shared" si="46"/>
        <v>2</v>
      </c>
      <c r="N301" s="8">
        <v>42720</v>
      </c>
      <c r="O301" s="154" t="s">
        <v>2969</v>
      </c>
    </row>
    <row r="302" spans="1:15" s="9" customFormat="1" ht="16.5" customHeight="1">
      <c r="A302" s="2">
        <v>38</v>
      </c>
      <c r="B302" s="3">
        <v>6</v>
      </c>
      <c r="C302" s="3">
        <v>259</v>
      </c>
      <c r="D302" s="3" t="s">
        <v>75</v>
      </c>
      <c r="E302" s="3"/>
      <c r="F302" s="4" t="s">
        <v>414</v>
      </c>
      <c r="G302" s="18" t="s">
        <v>415</v>
      </c>
      <c r="H302" s="4" t="s">
        <v>416</v>
      </c>
      <c r="I302" s="4" t="s">
        <v>412</v>
      </c>
      <c r="J302" s="4" t="s">
        <v>413</v>
      </c>
      <c r="K302" s="19">
        <v>3</v>
      </c>
      <c r="L302" s="19"/>
      <c r="M302" s="6">
        <f t="shared" si="46"/>
        <v>3</v>
      </c>
      <c r="N302" s="8">
        <v>42720</v>
      </c>
      <c r="O302" s="154" t="s">
        <v>2969</v>
      </c>
    </row>
    <row r="303" spans="1:15" s="34" customFormat="1" ht="16.5" customHeight="1">
      <c r="A303" s="2">
        <v>38</v>
      </c>
      <c r="B303" s="3">
        <v>7</v>
      </c>
      <c r="C303" s="3">
        <v>260</v>
      </c>
      <c r="D303" s="3" t="s">
        <v>75</v>
      </c>
      <c r="E303" s="3"/>
      <c r="F303" s="4" t="s">
        <v>417</v>
      </c>
      <c r="G303" s="18" t="s">
        <v>418</v>
      </c>
      <c r="H303" s="4" t="s">
        <v>419</v>
      </c>
      <c r="I303" s="4" t="s">
        <v>412</v>
      </c>
      <c r="J303" s="4" t="s">
        <v>413</v>
      </c>
      <c r="K303" s="6">
        <v>3</v>
      </c>
      <c r="L303" s="6"/>
      <c r="M303" s="6">
        <f t="shared" si="46"/>
        <v>3</v>
      </c>
      <c r="N303" s="8">
        <v>66240</v>
      </c>
      <c r="O303" s="154" t="s">
        <v>2969</v>
      </c>
    </row>
    <row r="304" spans="1:15" s="9" customFormat="1" ht="16.5" customHeight="1">
      <c r="A304" s="2">
        <v>38</v>
      </c>
      <c r="B304" s="3">
        <v>8</v>
      </c>
      <c r="C304" s="3">
        <v>261</v>
      </c>
      <c r="D304" s="3" t="s">
        <v>420</v>
      </c>
      <c r="E304" s="3"/>
      <c r="F304" s="4"/>
      <c r="G304" s="18" t="s">
        <v>421</v>
      </c>
      <c r="H304" s="4">
        <v>89671</v>
      </c>
      <c r="I304" s="4" t="s">
        <v>408</v>
      </c>
      <c r="J304" s="4" t="s">
        <v>79</v>
      </c>
      <c r="K304" s="19">
        <f>500+200</f>
        <v>700</v>
      </c>
      <c r="L304" s="19"/>
      <c r="M304" s="6">
        <f t="shared" si="46"/>
        <v>700</v>
      </c>
      <c r="N304" s="8" t="s">
        <v>2934</v>
      </c>
      <c r="O304" s="149"/>
    </row>
    <row r="305" spans="1:15" s="9" customFormat="1" ht="16.5" customHeight="1">
      <c r="A305" s="2">
        <v>38</v>
      </c>
      <c r="B305" s="3">
        <v>9</v>
      </c>
      <c r="C305" s="3">
        <v>262</v>
      </c>
      <c r="D305" s="3" t="s">
        <v>75</v>
      </c>
      <c r="E305" s="3"/>
      <c r="F305" s="4" t="s">
        <v>427</v>
      </c>
      <c r="G305" s="18" t="s">
        <v>428</v>
      </c>
      <c r="H305" s="4" t="s">
        <v>429</v>
      </c>
      <c r="I305" s="4" t="s">
        <v>408</v>
      </c>
      <c r="J305" s="4" t="s">
        <v>79</v>
      </c>
      <c r="K305" s="19">
        <v>150</v>
      </c>
      <c r="L305" s="19"/>
      <c r="M305" s="6">
        <f t="shared" si="46"/>
        <v>150</v>
      </c>
      <c r="N305" s="8">
        <v>45390</v>
      </c>
      <c r="O305" s="149"/>
    </row>
    <row r="306" spans="1:15" s="9" customFormat="1" ht="16.5" customHeight="1">
      <c r="A306" s="2">
        <v>38</v>
      </c>
      <c r="B306" s="3">
        <v>10</v>
      </c>
      <c r="C306" s="3">
        <v>263</v>
      </c>
      <c r="D306" s="3" t="s">
        <v>75</v>
      </c>
      <c r="E306" s="3"/>
      <c r="F306" s="4"/>
      <c r="G306" s="18" t="s">
        <v>430</v>
      </c>
      <c r="H306" s="4" t="s">
        <v>431</v>
      </c>
      <c r="I306" s="4" t="s">
        <v>408</v>
      </c>
      <c r="J306" s="4" t="s">
        <v>79</v>
      </c>
      <c r="K306" s="19">
        <v>20</v>
      </c>
      <c r="L306" s="19"/>
      <c r="M306" s="6">
        <f t="shared" si="46"/>
        <v>20</v>
      </c>
      <c r="N306" s="8" t="s">
        <v>2934</v>
      </c>
      <c r="O306" s="149"/>
    </row>
    <row r="307" spans="1:15" s="9" customFormat="1" ht="16.5" customHeight="1">
      <c r="A307" s="2">
        <v>38</v>
      </c>
      <c r="B307" s="3">
        <v>11</v>
      </c>
      <c r="C307" s="3">
        <v>264</v>
      </c>
      <c r="D307" s="3" t="s">
        <v>432</v>
      </c>
      <c r="E307" s="3"/>
      <c r="F307" s="35"/>
      <c r="G307" s="29" t="s">
        <v>433</v>
      </c>
      <c r="H307" s="4"/>
      <c r="I307" s="31"/>
      <c r="J307" s="31" t="s">
        <v>85</v>
      </c>
      <c r="K307" s="19">
        <v>400</v>
      </c>
      <c r="L307" s="19"/>
      <c r="M307" s="6">
        <f t="shared" si="46"/>
        <v>400</v>
      </c>
      <c r="N307" s="8" t="s">
        <v>2934</v>
      </c>
      <c r="O307" s="149"/>
    </row>
    <row r="308" spans="1:15" s="9" customFormat="1" ht="16.5" customHeight="1">
      <c r="A308" s="2">
        <v>38</v>
      </c>
      <c r="B308" s="3">
        <v>12</v>
      </c>
      <c r="C308" s="3">
        <v>265</v>
      </c>
      <c r="D308" s="3" t="s">
        <v>434</v>
      </c>
      <c r="E308" s="3"/>
      <c r="F308" s="28" t="s">
        <v>435</v>
      </c>
      <c r="G308" s="29" t="s">
        <v>436</v>
      </c>
      <c r="H308" s="4" t="s">
        <v>84</v>
      </c>
      <c r="I308" s="31"/>
      <c r="J308" s="31" t="s">
        <v>85</v>
      </c>
      <c r="K308" s="6">
        <v>9000</v>
      </c>
      <c r="L308" s="6"/>
      <c r="M308" s="6">
        <f t="shared" si="46"/>
        <v>9000</v>
      </c>
      <c r="N308" s="8">
        <v>438</v>
      </c>
      <c r="O308" s="149" t="s">
        <v>3017</v>
      </c>
    </row>
    <row r="309" spans="1:15" s="9" customFormat="1" ht="16.5" customHeight="1">
      <c r="A309" s="2">
        <v>38</v>
      </c>
      <c r="B309" s="3">
        <v>13</v>
      </c>
      <c r="C309" s="3">
        <v>266</v>
      </c>
      <c r="D309" s="3" t="s">
        <v>437</v>
      </c>
      <c r="E309" s="3"/>
      <c r="F309" s="4"/>
      <c r="G309" s="18" t="s">
        <v>438</v>
      </c>
      <c r="H309" s="4">
        <v>90002</v>
      </c>
      <c r="I309" s="4" t="s">
        <v>408</v>
      </c>
      <c r="J309" s="4" t="s">
        <v>79</v>
      </c>
      <c r="K309" s="6">
        <v>1100</v>
      </c>
      <c r="L309" s="6"/>
      <c r="M309" s="6">
        <f t="shared" si="46"/>
        <v>1100</v>
      </c>
      <c r="N309" s="8" t="s">
        <v>2934</v>
      </c>
      <c r="O309" s="149"/>
    </row>
    <row r="310" spans="1:15" s="9" customFormat="1" ht="16.5" customHeight="1">
      <c r="A310" s="2">
        <v>38</v>
      </c>
      <c r="B310" s="3">
        <v>14</v>
      </c>
      <c r="C310" s="3">
        <v>267</v>
      </c>
      <c r="D310" s="3" t="s">
        <v>75</v>
      </c>
      <c r="E310" s="3"/>
      <c r="F310" s="4"/>
      <c r="G310" s="18" t="s">
        <v>439</v>
      </c>
      <c r="H310" s="4" t="s">
        <v>440</v>
      </c>
      <c r="I310" s="4" t="s">
        <v>408</v>
      </c>
      <c r="J310" s="4" t="s">
        <v>79</v>
      </c>
      <c r="K310" s="19">
        <v>100</v>
      </c>
      <c r="L310" s="19"/>
      <c r="M310" s="6">
        <f t="shared" si="46"/>
        <v>100</v>
      </c>
      <c r="N310" s="8" t="s">
        <v>2934</v>
      </c>
      <c r="O310" s="149"/>
    </row>
    <row r="311" spans="1:15" s="9" customFormat="1" ht="16.5" customHeight="1">
      <c r="A311" s="2">
        <v>38</v>
      </c>
      <c r="B311" s="3">
        <v>15</v>
      </c>
      <c r="C311" s="3">
        <v>268</v>
      </c>
      <c r="D311" s="3" t="s">
        <v>75</v>
      </c>
      <c r="E311" s="3"/>
      <c r="F311" s="4"/>
      <c r="G311" s="18" t="s">
        <v>441</v>
      </c>
      <c r="H311" s="4" t="s">
        <v>442</v>
      </c>
      <c r="I311" s="4" t="s">
        <v>443</v>
      </c>
      <c r="J311" s="4" t="s">
        <v>79</v>
      </c>
      <c r="K311" s="19">
        <v>30</v>
      </c>
      <c r="L311" s="19"/>
      <c r="M311" s="6">
        <f t="shared" si="46"/>
        <v>30</v>
      </c>
      <c r="N311" s="8" t="s">
        <v>2934</v>
      </c>
      <c r="O311" s="149"/>
    </row>
    <row r="312" spans="1:15" s="34" customFormat="1" ht="16.5" customHeight="1">
      <c r="A312" s="2">
        <v>38</v>
      </c>
      <c r="B312" s="3">
        <v>16</v>
      </c>
      <c r="C312" s="3">
        <v>269</v>
      </c>
      <c r="D312" s="3" t="s">
        <v>75</v>
      </c>
      <c r="E312" s="3"/>
      <c r="F312" s="4"/>
      <c r="G312" s="18" t="s">
        <v>444</v>
      </c>
      <c r="H312" s="4" t="s">
        <v>445</v>
      </c>
      <c r="I312" s="4" t="s">
        <v>408</v>
      </c>
      <c r="J312" s="4" t="s">
        <v>79</v>
      </c>
      <c r="K312" s="6">
        <v>200</v>
      </c>
      <c r="L312" s="6"/>
      <c r="M312" s="6">
        <f t="shared" si="46"/>
        <v>200</v>
      </c>
      <c r="N312" s="8" t="s">
        <v>2934</v>
      </c>
      <c r="O312" s="153"/>
    </row>
    <row r="313" spans="1:15" s="34" customFormat="1" ht="16.5" customHeight="1">
      <c r="A313" s="2">
        <v>38</v>
      </c>
      <c r="B313" s="3">
        <v>17</v>
      </c>
      <c r="C313" s="3">
        <v>270</v>
      </c>
      <c r="D313" s="3" t="s">
        <v>75</v>
      </c>
      <c r="E313" s="3"/>
      <c r="F313" s="4" t="s">
        <v>446</v>
      </c>
      <c r="G313" s="18" t="s">
        <v>447</v>
      </c>
      <c r="H313" s="4" t="s">
        <v>84</v>
      </c>
      <c r="I313" s="4" t="s">
        <v>448</v>
      </c>
      <c r="J313" s="4" t="s">
        <v>79</v>
      </c>
      <c r="K313" s="6">
        <v>150</v>
      </c>
      <c r="L313" s="6"/>
      <c r="M313" s="6">
        <f t="shared" si="46"/>
        <v>150</v>
      </c>
      <c r="N313" s="8">
        <v>15110</v>
      </c>
      <c r="O313" s="153"/>
    </row>
    <row r="314" spans="1:15" s="34" customFormat="1" ht="16.5" customHeight="1">
      <c r="A314" s="2">
        <v>38</v>
      </c>
      <c r="B314" s="3">
        <v>18</v>
      </c>
      <c r="C314" s="3">
        <v>271</v>
      </c>
      <c r="D314" s="3" t="s">
        <v>75</v>
      </c>
      <c r="E314" s="3"/>
      <c r="F314" s="4"/>
      <c r="G314" s="18" t="s">
        <v>452</v>
      </c>
      <c r="H314" s="4">
        <v>82000</v>
      </c>
      <c r="I314" s="4" t="s">
        <v>401</v>
      </c>
      <c r="J314" s="4" t="s">
        <v>402</v>
      </c>
      <c r="K314" s="6">
        <v>50</v>
      </c>
      <c r="L314" s="6"/>
      <c r="M314" s="6">
        <f t="shared" si="46"/>
        <v>50</v>
      </c>
      <c r="N314" s="8" t="s">
        <v>2934</v>
      </c>
      <c r="O314" s="153"/>
    </row>
    <row r="315" spans="1:15" s="34" customFormat="1" ht="16.5" customHeight="1">
      <c r="A315" s="2">
        <v>38</v>
      </c>
      <c r="B315" s="3">
        <v>19</v>
      </c>
      <c r="C315" s="3">
        <v>272</v>
      </c>
      <c r="D315" s="3" t="s">
        <v>75</v>
      </c>
      <c r="E315" s="3"/>
      <c r="F315" s="31" t="s">
        <v>453</v>
      </c>
      <c r="G315" s="36" t="s">
        <v>454</v>
      </c>
      <c r="H315" s="31" t="s">
        <v>455</v>
      </c>
      <c r="I315" s="31" t="s">
        <v>412</v>
      </c>
      <c r="J315" s="31" t="s">
        <v>456</v>
      </c>
      <c r="K315" s="6">
        <v>3</v>
      </c>
      <c r="L315" s="6"/>
      <c r="M315" s="6">
        <f t="shared" si="46"/>
        <v>3</v>
      </c>
      <c r="N315" s="8">
        <v>66240</v>
      </c>
      <c r="O315" s="154" t="s">
        <v>2969</v>
      </c>
    </row>
    <row r="316" spans="1:15" s="34" customFormat="1" ht="16.5" customHeight="1">
      <c r="A316" s="2">
        <v>38</v>
      </c>
      <c r="B316" s="3">
        <v>20</v>
      </c>
      <c r="C316" s="3">
        <v>273</v>
      </c>
      <c r="D316" s="3" t="s">
        <v>75</v>
      </c>
      <c r="E316" s="3"/>
      <c r="F316" s="31" t="s">
        <v>453</v>
      </c>
      <c r="G316" s="36" t="s">
        <v>457</v>
      </c>
      <c r="H316" s="31" t="s">
        <v>458</v>
      </c>
      <c r="I316" s="31" t="s">
        <v>412</v>
      </c>
      <c r="J316" s="31" t="s">
        <v>456</v>
      </c>
      <c r="K316" s="6">
        <v>3</v>
      </c>
      <c r="L316" s="6"/>
      <c r="M316" s="6">
        <f t="shared" si="46"/>
        <v>3</v>
      </c>
      <c r="N316" s="8">
        <v>66240</v>
      </c>
      <c r="O316" s="154" t="s">
        <v>2969</v>
      </c>
    </row>
    <row r="317" spans="1:15" s="9" customFormat="1" ht="16.5" customHeight="1">
      <c r="A317" s="2">
        <v>38</v>
      </c>
      <c r="B317" s="3">
        <v>21</v>
      </c>
      <c r="C317" s="3">
        <v>274</v>
      </c>
      <c r="D317" s="3" t="s">
        <v>75</v>
      </c>
      <c r="E317" s="3"/>
      <c r="F317" s="37"/>
      <c r="G317" s="36" t="s">
        <v>459</v>
      </c>
      <c r="H317" s="31" t="s">
        <v>460</v>
      </c>
      <c r="I317" s="31"/>
      <c r="J317" s="31" t="s">
        <v>28</v>
      </c>
      <c r="K317" s="19">
        <v>50</v>
      </c>
      <c r="L317" s="19"/>
      <c r="M317" s="6">
        <f t="shared" si="46"/>
        <v>50</v>
      </c>
      <c r="N317" s="8" t="s">
        <v>2934</v>
      </c>
      <c r="O317" s="149"/>
    </row>
    <row r="318" spans="1:15" s="9" customFormat="1" ht="16.5" customHeight="1">
      <c r="A318" s="2">
        <v>38</v>
      </c>
      <c r="B318" s="3">
        <v>22</v>
      </c>
      <c r="C318" s="3">
        <v>275</v>
      </c>
      <c r="D318" s="3" t="s">
        <v>75</v>
      </c>
      <c r="E318" s="3"/>
      <c r="F318" s="31" t="s">
        <v>461</v>
      </c>
      <c r="G318" s="36" t="s">
        <v>462</v>
      </c>
      <c r="H318" s="31" t="s">
        <v>463</v>
      </c>
      <c r="I318" s="31" t="s">
        <v>464</v>
      </c>
      <c r="J318" s="31" t="s">
        <v>28</v>
      </c>
      <c r="K318" s="19">
        <v>50</v>
      </c>
      <c r="L318" s="19"/>
      <c r="M318" s="6">
        <f t="shared" si="46"/>
        <v>50</v>
      </c>
      <c r="N318" s="8">
        <v>40850</v>
      </c>
      <c r="O318" s="149"/>
    </row>
    <row r="319" spans="1:15" s="9" customFormat="1" ht="16.5" customHeight="1">
      <c r="A319" s="2">
        <v>38</v>
      </c>
      <c r="B319" s="3">
        <v>23</v>
      </c>
      <c r="C319" s="3">
        <v>276</v>
      </c>
      <c r="D319" s="3" t="s">
        <v>14</v>
      </c>
      <c r="E319" s="3"/>
      <c r="F319" s="31"/>
      <c r="G319" s="36" t="s">
        <v>465</v>
      </c>
      <c r="H319" s="31"/>
      <c r="I319" s="31" t="s">
        <v>466</v>
      </c>
      <c r="J319" s="31" t="s">
        <v>28</v>
      </c>
      <c r="K319" s="19">
        <v>200</v>
      </c>
      <c r="L319" s="19"/>
      <c r="M319" s="6">
        <f t="shared" si="46"/>
        <v>200</v>
      </c>
      <c r="N319" s="8" t="s">
        <v>2934</v>
      </c>
      <c r="O319" s="149"/>
    </row>
    <row r="320" spans="1:15" s="9" customFormat="1" ht="16.5" customHeight="1">
      <c r="A320" s="13"/>
      <c r="B320" s="14"/>
      <c r="C320" s="14"/>
      <c r="D320" s="14"/>
      <c r="E320" s="14"/>
      <c r="F320" s="15"/>
      <c r="G320" s="16"/>
      <c r="H320" s="15"/>
      <c r="I320" s="15"/>
      <c r="J320" s="14"/>
      <c r="K320" s="157">
        <f>SUM(K297:K319)</f>
        <v>12504</v>
      </c>
      <c r="L320" s="157">
        <f t="shared" ref="L320:M320" si="49">SUM(L297:L319)</f>
        <v>0</v>
      </c>
      <c r="M320" s="157">
        <f t="shared" si="49"/>
        <v>12504</v>
      </c>
      <c r="N320" s="17"/>
      <c r="O320" s="145"/>
    </row>
    <row r="321" spans="1:15" ht="17.25" customHeight="1">
      <c r="A321" s="2">
        <v>39</v>
      </c>
      <c r="B321" s="3">
        <v>1</v>
      </c>
      <c r="C321" s="3">
        <v>277</v>
      </c>
      <c r="D321" s="3" t="s">
        <v>1065</v>
      </c>
      <c r="E321" s="3"/>
      <c r="F321" s="47"/>
      <c r="G321" s="18" t="s">
        <v>1552</v>
      </c>
      <c r="H321" s="4" t="s">
        <v>1553</v>
      </c>
      <c r="I321" s="4" t="s">
        <v>1554</v>
      </c>
      <c r="J321" s="3" t="s">
        <v>85</v>
      </c>
      <c r="K321" s="6">
        <v>300</v>
      </c>
      <c r="L321" s="6"/>
      <c r="M321" s="6">
        <f t="shared" ref="M321" si="50">K321+L321</f>
        <v>300</v>
      </c>
      <c r="N321" s="8" t="s">
        <v>2934</v>
      </c>
      <c r="O321" s="144"/>
    </row>
    <row r="322" spans="1:15" ht="17.25" customHeight="1">
      <c r="A322" s="13"/>
      <c r="B322" s="14"/>
      <c r="C322" s="14"/>
      <c r="D322" s="14"/>
      <c r="E322" s="14"/>
      <c r="F322" s="15"/>
      <c r="G322" s="16"/>
      <c r="H322" s="15"/>
      <c r="I322" s="15"/>
      <c r="J322" s="14"/>
      <c r="K322" s="157">
        <f>SUM(K321)</f>
        <v>300</v>
      </c>
      <c r="L322" s="157">
        <f t="shared" ref="L322:M322" si="51">SUM(L321)</f>
        <v>0</v>
      </c>
      <c r="M322" s="157">
        <f t="shared" si="51"/>
        <v>300</v>
      </c>
      <c r="N322" s="17"/>
      <c r="O322" s="145"/>
    </row>
    <row r="323" spans="1:15" s="9" customFormat="1" ht="16.5" customHeight="1">
      <c r="A323" s="2">
        <v>40</v>
      </c>
      <c r="B323" s="3">
        <v>1</v>
      </c>
      <c r="C323" s="3">
        <v>278</v>
      </c>
      <c r="D323" s="3"/>
      <c r="E323" s="3" t="s">
        <v>1976</v>
      </c>
      <c r="F323" s="4" t="s">
        <v>1986</v>
      </c>
      <c r="G323" s="5" t="s">
        <v>1985</v>
      </c>
      <c r="H323" s="4" t="s">
        <v>1984</v>
      </c>
      <c r="I323" s="3" t="s">
        <v>2727</v>
      </c>
      <c r="J323" s="3" t="s">
        <v>1972</v>
      </c>
      <c r="K323" s="6"/>
      <c r="L323" s="6">
        <v>50</v>
      </c>
      <c r="M323" s="6">
        <f t="shared" ref="M323:M358" si="52">K323+L323</f>
        <v>50</v>
      </c>
      <c r="N323" s="8">
        <v>13510</v>
      </c>
      <c r="O323" s="149"/>
    </row>
    <row r="324" spans="1:15" s="9" customFormat="1">
      <c r="A324" s="2">
        <v>40</v>
      </c>
      <c r="B324" s="3">
        <v>2</v>
      </c>
      <c r="C324" s="3">
        <v>279</v>
      </c>
      <c r="D324" s="3"/>
      <c r="E324" s="3" t="s">
        <v>1779</v>
      </c>
      <c r="F324" s="4" t="s">
        <v>1983</v>
      </c>
      <c r="G324" s="5" t="s">
        <v>1982</v>
      </c>
      <c r="H324" s="4">
        <v>8003138</v>
      </c>
      <c r="I324" s="3" t="s">
        <v>2728</v>
      </c>
      <c r="J324" s="3" t="s">
        <v>1972</v>
      </c>
      <c r="K324" s="6"/>
      <c r="L324" s="6">
        <v>12</v>
      </c>
      <c r="M324" s="6">
        <f t="shared" si="52"/>
        <v>12</v>
      </c>
      <c r="N324" s="8">
        <v>59087.000000000007</v>
      </c>
      <c r="O324" s="155" t="s">
        <v>2956</v>
      </c>
    </row>
    <row r="325" spans="1:15" s="9" customFormat="1">
      <c r="A325" s="2">
        <v>40</v>
      </c>
      <c r="B325" s="3">
        <v>3</v>
      </c>
      <c r="C325" s="3">
        <v>280</v>
      </c>
      <c r="D325" s="3"/>
      <c r="E325" s="3" t="s">
        <v>1976</v>
      </c>
      <c r="F325" s="4" t="s">
        <v>1635</v>
      </c>
      <c r="G325" s="5" t="s">
        <v>1981</v>
      </c>
      <c r="H325" s="4" t="s">
        <v>1980</v>
      </c>
      <c r="I325" s="3" t="s">
        <v>2729</v>
      </c>
      <c r="J325" s="3" t="s">
        <v>1972</v>
      </c>
      <c r="K325" s="6"/>
      <c r="L325" s="6">
        <v>12</v>
      </c>
      <c r="M325" s="6">
        <f t="shared" si="52"/>
        <v>12</v>
      </c>
      <c r="N325" s="8">
        <v>59087.000000000007</v>
      </c>
      <c r="O325" s="155" t="s">
        <v>2956</v>
      </c>
    </row>
    <row r="326" spans="1:15" s="9" customFormat="1" ht="16.5" customHeight="1">
      <c r="A326" s="2">
        <v>40</v>
      </c>
      <c r="B326" s="3">
        <v>4</v>
      </c>
      <c r="C326" s="3">
        <v>281</v>
      </c>
      <c r="D326" s="3"/>
      <c r="E326" s="3" t="s">
        <v>1779</v>
      </c>
      <c r="F326" s="4" t="s">
        <v>1979</v>
      </c>
      <c r="G326" s="5" t="s">
        <v>1978</v>
      </c>
      <c r="H326" s="4" t="s">
        <v>1977</v>
      </c>
      <c r="I326" s="3" t="s">
        <v>2727</v>
      </c>
      <c r="J326" s="3" t="s">
        <v>1972</v>
      </c>
      <c r="K326" s="6"/>
      <c r="L326" s="6">
        <v>60</v>
      </c>
      <c r="M326" s="6">
        <f t="shared" si="52"/>
        <v>60</v>
      </c>
      <c r="N326" s="8">
        <v>44600</v>
      </c>
      <c r="O326" s="149"/>
    </row>
    <row r="327" spans="1:15" s="9" customFormat="1" ht="16.5" customHeight="1">
      <c r="A327" s="2">
        <v>40</v>
      </c>
      <c r="B327" s="3">
        <v>5</v>
      </c>
      <c r="C327" s="3">
        <v>282</v>
      </c>
      <c r="D327" s="3"/>
      <c r="E327" s="3" t="s">
        <v>1976</v>
      </c>
      <c r="F327" s="4" t="s">
        <v>1975</v>
      </c>
      <c r="G327" s="5" t="s">
        <v>1974</v>
      </c>
      <c r="H327" s="4" t="s">
        <v>1973</v>
      </c>
      <c r="I327" s="3" t="s">
        <v>2730</v>
      </c>
      <c r="J327" s="3" t="s">
        <v>1972</v>
      </c>
      <c r="K327" s="6"/>
      <c r="L327" s="6">
        <v>1</v>
      </c>
      <c r="M327" s="6">
        <f t="shared" si="52"/>
        <v>1</v>
      </c>
      <c r="N327" s="8">
        <v>44600</v>
      </c>
      <c r="O327" s="149"/>
    </row>
    <row r="328" spans="1:15" s="9" customFormat="1">
      <c r="A328" s="2">
        <v>40</v>
      </c>
      <c r="B328" s="3">
        <v>6</v>
      </c>
      <c r="C328" s="3">
        <v>283</v>
      </c>
      <c r="D328" s="3"/>
      <c r="E328" s="3" t="s">
        <v>488</v>
      </c>
      <c r="F328" s="4"/>
      <c r="G328" s="5" t="s">
        <v>1971</v>
      </c>
      <c r="H328" s="4" t="s">
        <v>1970</v>
      </c>
      <c r="I328" s="3" t="s">
        <v>2731</v>
      </c>
      <c r="J328" s="3" t="s">
        <v>85</v>
      </c>
      <c r="K328" s="6"/>
      <c r="L328" s="6">
        <v>30</v>
      </c>
      <c r="M328" s="6">
        <f t="shared" si="52"/>
        <v>30</v>
      </c>
      <c r="N328" s="8" t="s">
        <v>1969</v>
      </c>
      <c r="O328" s="149"/>
    </row>
    <row r="329" spans="1:15" s="9" customFormat="1" ht="16.5" customHeight="1">
      <c r="A329" s="2">
        <v>40</v>
      </c>
      <c r="B329" s="3">
        <v>7</v>
      </c>
      <c r="C329" s="3">
        <v>284</v>
      </c>
      <c r="D329" s="3" t="s">
        <v>982</v>
      </c>
      <c r="E329" s="3"/>
      <c r="F329" s="4"/>
      <c r="G329" s="5" t="s">
        <v>983</v>
      </c>
      <c r="H329" s="4" t="s">
        <v>984</v>
      </c>
      <c r="I329" s="3" t="s">
        <v>2732</v>
      </c>
      <c r="J329" s="3" t="s">
        <v>514</v>
      </c>
      <c r="K329" s="6">
        <v>5</v>
      </c>
      <c r="L329" s="6"/>
      <c r="M329" s="6">
        <f t="shared" si="52"/>
        <v>5</v>
      </c>
      <c r="N329" s="8" t="s">
        <v>2934</v>
      </c>
      <c r="O329" s="149"/>
    </row>
    <row r="330" spans="1:15" s="9" customFormat="1" ht="16.5" customHeight="1">
      <c r="A330" s="2">
        <v>40</v>
      </c>
      <c r="B330" s="3">
        <v>8</v>
      </c>
      <c r="C330" s="3">
        <v>285</v>
      </c>
      <c r="D330" s="3" t="s">
        <v>982</v>
      </c>
      <c r="E330" s="3"/>
      <c r="F330" s="4"/>
      <c r="G330" s="5" t="s">
        <v>985</v>
      </c>
      <c r="H330" s="4"/>
      <c r="I330" s="3" t="s">
        <v>2733</v>
      </c>
      <c r="J330" s="3" t="s">
        <v>35</v>
      </c>
      <c r="K330" s="6">
        <v>5</v>
      </c>
      <c r="L330" s="6"/>
      <c r="M330" s="6">
        <f t="shared" si="52"/>
        <v>5</v>
      </c>
      <c r="N330" s="8" t="s">
        <v>2934</v>
      </c>
      <c r="O330" s="149"/>
    </row>
    <row r="331" spans="1:15" s="9" customFormat="1" ht="16.5" customHeight="1">
      <c r="A331" s="2">
        <v>40</v>
      </c>
      <c r="B331" s="3">
        <v>9</v>
      </c>
      <c r="C331" s="3">
        <v>286</v>
      </c>
      <c r="D331" s="3" t="s">
        <v>14</v>
      </c>
      <c r="E331" s="3"/>
      <c r="F331" s="4"/>
      <c r="G331" s="5" t="s">
        <v>986</v>
      </c>
      <c r="H331" s="4" t="s">
        <v>987</v>
      </c>
      <c r="I331" s="3" t="s">
        <v>2734</v>
      </c>
      <c r="J331" s="3" t="s">
        <v>988</v>
      </c>
      <c r="K331" s="6">
        <v>5</v>
      </c>
      <c r="L331" s="6"/>
      <c r="M331" s="6">
        <f t="shared" si="52"/>
        <v>5</v>
      </c>
      <c r="N331" s="8" t="s">
        <v>2934</v>
      </c>
      <c r="O331" s="149"/>
    </row>
    <row r="332" spans="1:15" s="9" customFormat="1" ht="16.5" customHeight="1">
      <c r="A332" s="2">
        <v>40</v>
      </c>
      <c r="B332" s="3">
        <v>10</v>
      </c>
      <c r="C332" s="3">
        <v>287</v>
      </c>
      <c r="D332" s="3" t="s">
        <v>14</v>
      </c>
      <c r="E332" s="3"/>
      <c r="F332" s="4"/>
      <c r="G332" s="5" t="s">
        <v>986</v>
      </c>
      <c r="H332" s="4" t="s">
        <v>989</v>
      </c>
      <c r="I332" s="3" t="s">
        <v>2735</v>
      </c>
      <c r="J332" s="3" t="s">
        <v>310</v>
      </c>
      <c r="K332" s="6">
        <v>3</v>
      </c>
      <c r="L332" s="6"/>
      <c r="M332" s="6">
        <f t="shared" si="52"/>
        <v>3</v>
      </c>
      <c r="N332" s="8" t="s">
        <v>2934</v>
      </c>
      <c r="O332" s="149"/>
    </row>
    <row r="333" spans="1:15" s="9" customFormat="1" ht="16.5" customHeight="1">
      <c r="A333" s="2">
        <v>40</v>
      </c>
      <c r="B333" s="3">
        <v>11</v>
      </c>
      <c r="C333" s="3">
        <v>288</v>
      </c>
      <c r="D333" s="3" t="s">
        <v>982</v>
      </c>
      <c r="E333" s="3"/>
      <c r="F333" s="4"/>
      <c r="G333" s="5" t="s">
        <v>990</v>
      </c>
      <c r="H333" s="4" t="s">
        <v>991</v>
      </c>
      <c r="I333" s="3" t="s">
        <v>2733</v>
      </c>
      <c r="J333" s="3" t="s">
        <v>35</v>
      </c>
      <c r="K333" s="6">
        <v>5</v>
      </c>
      <c r="L333" s="6"/>
      <c r="M333" s="6">
        <f t="shared" si="52"/>
        <v>5</v>
      </c>
      <c r="N333" s="8" t="s">
        <v>2934</v>
      </c>
      <c r="O333" s="149"/>
    </row>
    <row r="334" spans="1:15" s="9" customFormat="1" ht="16.5" customHeight="1">
      <c r="A334" s="2">
        <v>40</v>
      </c>
      <c r="B334" s="3">
        <v>12</v>
      </c>
      <c r="C334" s="3">
        <v>289</v>
      </c>
      <c r="D334" s="3" t="s">
        <v>14</v>
      </c>
      <c r="E334" s="3"/>
      <c r="F334" s="4"/>
      <c r="G334" s="5" t="s">
        <v>992</v>
      </c>
      <c r="H334" s="4" t="s">
        <v>993</v>
      </c>
      <c r="I334" s="3"/>
      <c r="J334" s="3" t="s">
        <v>994</v>
      </c>
      <c r="K334" s="6">
        <v>5</v>
      </c>
      <c r="L334" s="6"/>
      <c r="M334" s="6">
        <f t="shared" si="52"/>
        <v>5</v>
      </c>
      <c r="N334" s="8" t="s">
        <v>2934</v>
      </c>
      <c r="O334" s="149"/>
    </row>
    <row r="335" spans="1:15" s="9" customFormat="1" ht="16.5" customHeight="1">
      <c r="A335" s="2">
        <v>40</v>
      </c>
      <c r="B335" s="3">
        <v>13</v>
      </c>
      <c r="C335" s="3">
        <v>290</v>
      </c>
      <c r="D335" s="3" t="s">
        <v>14</v>
      </c>
      <c r="E335" s="3"/>
      <c r="F335" s="4" t="s">
        <v>995</v>
      </c>
      <c r="G335" s="5" t="s">
        <v>996</v>
      </c>
      <c r="H335" s="4" t="s">
        <v>997</v>
      </c>
      <c r="I335" s="3" t="s">
        <v>2736</v>
      </c>
      <c r="J335" s="3" t="s">
        <v>35</v>
      </c>
      <c r="K335" s="6">
        <v>100</v>
      </c>
      <c r="L335" s="6"/>
      <c r="M335" s="6">
        <f t="shared" si="52"/>
        <v>100</v>
      </c>
      <c r="N335" s="8">
        <v>58210</v>
      </c>
      <c r="O335" s="149"/>
    </row>
    <row r="336" spans="1:15" s="9" customFormat="1" ht="16.5" customHeight="1">
      <c r="A336" s="2">
        <v>40</v>
      </c>
      <c r="B336" s="3">
        <v>14</v>
      </c>
      <c r="C336" s="3">
        <v>291</v>
      </c>
      <c r="D336" s="3" t="s">
        <v>998</v>
      </c>
      <c r="E336" s="3"/>
      <c r="F336" s="4"/>
      <c r="G336" s="5" t="s">
        <v>999</v>
      </c>
      <c r="H336" s="4"/>
      <c r="I336" s="3" t="s">
        <v>2737</v>
      </c>
      <c r="J336" s="3" t="s">
        <v>35</v>
      </c>
      <c r="K336" s="6">
        <v>50</v>
      </c>
      <c r="L336" s="6"/>
      <c r="M336" s="6">
        <f t="shared" si="52"/>
        <v>50</v>
      </c>
      <c r="N336" s="8" t="s">
        <v>2934</v>
      </c>
      <c r="O336" s="149"/>
    </row>
    <row r="337" spans="1:15" s="9" customFormat="1" ht="16.5" customHeight="1">
      <c r="A337" s="2">
        <v>40</v>
      </c>
      <c r="B337" s="3">
        <v>15</v>
      </c>
      <c r="C337" s="3">
        <v>292</v>
      </c>
      <c r="D337" s="3" t="s">
        <v>998</v>
      </c>
      <c r="E337" s="3"/>
      <c r="F337" s="4"/>
      <c r="G337" s="5" t="s">
        <v>1000</v>
      </c>
      <c r="H337" s="4"/>
      <c r="I337" s="3" t="s">
        <v>2738</v>
      </c>
      <c r="J337" s="3" t="s">
        <v>35</v>
      </c>
      <c r="K337" s="6">
        <f>50+20</f>
        <v>70</v>
      </c>
      <c r="L337" s="6"/>
      <c r="M337" s="6">
        <f t="shared" si="52"/>
        <v>70</v>
      </c>
      <c r="N337" s="8" t="s">
        <v>2934</v>
      </c>
      <c r="O337" s="149"/>
    </row>
    <row r="338" spans="1:15" s="9" customFormat="1" ht="16.5" customHeight="1">
      <c r="A338" s="2">
        <v>40</v>
      </c>
      <c r="B338" s="3">
        <v>16</v>
      </c>
      <c r="C338" s="3">
        <v>293</v>
      </c>
      <c r="D338" s="3" t="s">
        <v>982</v>
      </c>
      <c r="E338" s="3"/>
      <c r="F338" s="4"/>
      <c r="G338" s="5" t="s">
        <v>1001</v>
      </c>
      <c r="H338" s="4"/>
      <c r="I338" s="3" t="s">
        <v>2739</v>
      </c>
      <c r="J338" s="3" t="s">
        <v>35</v>
      </c>
      <c r="K338" s="6">
        <v>5</v>
      </c>
      <c r="L338" s="6"/>
      <c r="M338" s="6">
        <f t="shared" si="52"/>
        <v>5</v>
      </c>
      <c r="N338" s="8" t="s">
        <v>2934</v>
      </c>
      <c r="O338" s="149"/>
    </row>
    <row r="339" spans="1:15" s="9" customFormat="1" ht="16.5" customHeight="1">
      <c r="A339" s="2">
        <v>40</v>
      </c>
      <c r="B339" s="3">
        <v>17</v>
      </c>
      <c r="C339" s="3">
        <v>294</v>
      </c>
      <c r="D339" s="3" t="s">
        <v>982</v>
      </c>
      <c r="E339" s="3"/>
      <c r="F339" s="4"/>
      <c r="G339" s="5" t="s">
        <v>1002</v>
      </c>
      <c r="H339" s="4">
        <v>151228</v>
      </c>
      <c r="I339" s="3" t="s">
        <v>2738</v>
      </c>
      <c r="J339" s="3" t="s">
        <v>35</v>
      </c>
      <c r="K339" s="6">
        <v>5</v>
      </c>
      <c r="L339" s="6"/>
      <c r="M339" s="6">
        <f t="shared" si="52"/>
        <v>5</v>
      </c>
      <c r="N339" s="8" t="s">
        <v>2934</v>
      </c>
      <c r="O339" s="149"/>
    </row>
    <row r="340" spans="1:15" s="9" customFormat="1" ht="16.5" customHeight="1">
      <c r="A340" s="2">
        <v>40</v>
      </c>
      <c r="B340" s="3">
        <v>18</v>
      </c>
      <c r="C340" s="3">
        <v>295</v>
      </c>
      <c r="D340" s="3" t="s">
        <v>982</v>
      </c>
      <c r="E340" s="3"/>
      <c r="F340" s="4"/>
      <c r="G340" s="5" t="s">
        <v>1003</v>
      </c>
      <c r="H340" s="4">
        <v>151233</v>
      </c>
      <c r="I340" s="3" t="s">
        <v>2737</v>
      </c>
      <c r="J340" s="3" t="s">
        <v>1004</v>
      </c>
      <c r="K340" s="6">
        <v>5</v>
      </c>
      <c r="L340" s="6"/>
      <c r="M340" s="6">
        <f t="shared" si="52"/>
        <v>5</v>
      </c>
      <c r="N340" s="8" t="s">
        <v>2934</v>
      </c>
      <c r="O340" s="149"/>
    </row>
    <row r="341" spans="1:15" s="9" customFormat="1" ht="16.5" customHeight="1">
      <c r="A341" s="2">
        <v>40</v>
      </c>
      <c r="B341" s="3">
        <v>19</v>
      </c>
      <c r="C341" s="3">
        <v>296</v>
      </c>
      <c r="D341" s="3" t="s">
        <v>982</v>
      </c>
      <c r="E341" s="3"/>
      <c r="F341" s="4"/>
      <c r="G341" s="5" t="s">
        <v>1005</v>
      </c>
      <c r="H341" s="4" t="s">
        <v>1006</v>
      </c>
      <c r="I341" s="3" t="s">
        <v>2739</v>
      </c>
      <c r="J341" s="3" t="s">
        <v>28</v>
      </c>
      <c r="K341" s="6">
        <v>3</v>
      </c>
      <c r="L341" s="6"/>
      <c r="M341" s="6">
        <f t="shared" si="52"/>
        <v>3</v>
      </c>
      <c r="N341" s="8" t="s">
        <v>2934</v>
      </c>
      <c r="O341" s="149"/>
    </row>
    <row r="342" spans="1:15" s="9" customFormat="1" ht="16.5" customHeight="1">
      <c r="A342" s="2">
        <v>40</v>
      </c>
      <c r="B342" s="3">
        <v>20</v>
      </c>
      <c r="C342" s="3">
        <v>297</v>
      </c>
      <c r="D342" s="3" t="s">
        <v>982</v>
      </c>
      <c r="E342" s="3"/>
      <c r="F342" s="4"/>
      <c r="G342" s="5" t="s">
        <v>1007</v>
      </c>
      <c r="H342" s="4">
        <v>151972</v>
      </c>
      <c r="I342" s="3" t="s">
        <v>2739</v>
      </c>
      <c r="J342" s="3" t="s">
        <v>35</v>
      </c>
      <c r="K342" s="6">
        <v>3</v>
      </c>
      <c r="L342" s="6"/>
      <c r="M342" s="6">
        <f t="shared" si="52"/>
        <v>3</v>
      </c>
      <c r="N342" s="8" t="s">
        <v>2934</v>
      </c>
      <c r="O342" s="149"/>
    </row>
    <row r="343" spans="1:15" s="9" customFormat="1" ht="16.5" customHeight="1">
      <c r="A343" s="2">
        <v>40</v>
      </c>
      <c r="B343" s="3">
        <v>21</v>
      </c>
      <c r="C343" s="3">
        <v>298</v>
      </c>
      <c r="D343" s="3" t="s">
        <v>998</v>
      </c>
      <c r="E343" s="3"/>
      <c r="F343" s="4"/>
      <c r="G343" s="5" t="s">
        <v>1008</v>
      </c>
      <c r="H343" s="4" t="s">
        <v>1009</v>
      </c>
      <c r="I343" s="3" t="s">
        <v>2738</v>
      </c>
      <c r="J343" s="3" t="s">
        <v>35</v>
      </c>
      <c r="K343" s="6">
        <f>80+20</f>
        <v>100</v>
      </c>
      <c r="L343" s="6"/>
      <c r="M343" s="6">
        <f t="shared" si="52"/>
        <v>100</v>
      </c>
      <c r="N343" s="8" t="s">
        <v>2934</v>
      </c>
      <c r="O343" s="149"/>
    </row>
    <row r="344" spans="1:15" s="9" customFormat="1" ht="16.5" customHeight="1">
      <c r="A344" s="2">
        <v>40</v>
      </c>
      <c r="B344" s="3">
        <v>22</v>
      </c>
      <c r="C344" s="3">
        <v>299</v>
      </c>
      <c r="D344" s="3" t="s">
        <v>982</v>
      </c>
      <c r="E344" s="3"/>
      <c r="F344" s="4"/>
      <c r="G344" s="5" t="s">
        <v>1010</v>
      </c>
      <c r="H344" s="4" t="s">
        <v>1011</v>
      </c>
      <c r="I344" s="3" t="s">
        <v>2739</v>
      </c>
      <c r="J344" s="3" t="s">
        <v>35</v>
      </c>
      <c r="K344" s="6">
        <v>5</v>
      </c>
      <c r="L344" s="6"/>
      <c r="M344" s="6">
        <f t="shared" si="52"/>
        <v>5</v>
      </c>
      <c r="N344" s="8" t="s">
        <v>2934</v>
      </c>
      <c r="O344" s="149"/>
    </row>
    <row r="345" spans="1:15" s="9" customFormat="1" ht="16.5" customHeight="1">
      <c r="A345" s="2">
        <v>40</v>
      </c>
      <c r="B345" s="3">
        <v>23</v>
      </c>
      <c r="C345" s="3">
        <v>300</v>
      </c>
      <c r="D345" s="3" t="s">
        <v>998</v>
      </c>
      <c r="E345" s="3"/>
      <c r="F345" s="4"/>
      <c r="G345" s="5" t="s">
        <v>1010</v>
      </c>
      <c r="H345" s="4" t="s">
        <v>1012</v>
      </c>
      <c r="I345" s="3" t="s">
        <v>2738</v>
      </c>
      <c r="J345" s="3" t="s">
        <v>35</v>
      </c>
      <c r="K345" s="6">
        <v>10</v>
      </c>
      <c r="L345" s="6"/>
      <c r="M345" s="6">
        <f t="shared" si="52"/>
        <v>10</v>
      </c>
      <c r="N345" s="8" t="s">
        <v>2934</v>
      </c>
      <c r="O345" s="149"/>
    </row>
    <row r="346" spans="1:15" s="9" customFormat="1" ht="16.5" customHeight="1">
      <c r="A346" s="2">
        <v>40</v>
      </c>
      <c r="B346" s="3">
        <v>24</v>
      </c>
      <c r="C346" s="3">
        <v>301</v>
      </c>
      <c r="D346" s="3" t="s">
        <v>14</v>
      </c>
      <c r="E346" s="3"/>
      <c r="F346" s="4"/>
      <c r="G346" s="5" t="s">
        <v>1013</v>
      </c>
      <c r="H346" s="4"/>
      <c r="I346" s="3" t="s">
        <v>2739</v>
      </c>
      <c r="J346" s="3" t="s">
        <v>310</v>
      </c>
      <c r="K346" s="6">
        <v>10</v>
      </c>
      <c r="L346" s="6"/>
      <c r="M346" s="6">
        <f t="shared" si="52"/>
        <v>10</v>
      </c>
      <c r="N346" s="8" t="s">
        <v>2934</v>
      </c>
      <c r="O346" s="149"/>
    </row>
    <row r="347" spans="1:15" s="9" customFormat="1" ht="16.5" customHeight="1">
      <c r="A347" s="2">
        <v>40</v>
      </c>
      <c r="B347" s="3">
        <v>25</v>
      </c>
      <c r="C347" s="3">
        <v>302</v>
      </c>
      <c r="D347" s="3" t="s">
        <v>982</v>
      </c>
      <c r="E347" s="3"/>
      <c r="F347" s="4"/>
      <c r="G347" s="5" t="s">
        <v>1014</v>
      </c>
      <c r="H347" s="4" t="s">
        <v>1015</v>
      </c>
      <c r="I347" s="3" t="s">
        <v>2732</v>
      </c>
      <c r="J347" s="3" t="s">
        <v>35</v>
      </c>
      <c r="K347" s="6">
        <v>5</v>
      </c>
      <c r="L347" s="6"/>
      <c r="M347" s="6">
        <f t="shared" si="52"/>
        <v>5</v>
      </c>
      <c r="N347" s="8" t="s">
        <v>2934</v>
      </c>
      <c r="O347" s="149"/>
    </row>
    <row r="348" spans="1:15" s="9" customFormat="1" ht="16.5" customHeight="1">
      <c r="A348" s="2">
        <v>40</v>
      </c>
      <c r="B348" s="3">
        <v>26</v>
      </c>
      <c r="C348" s="3">
        <v>303</v>
      </c>
      <c r="D348" s="3" t="s">
        <v>982</v>
      </c>
      <c r="E348" s="3"/>
      <c r="F348" s="4"/>
      <c r="G348" s="5" t="s">
        <v>1014</v>
      </c>
      <c r="H348" s="4" t="s">
        <v>1016</v>
      </c>
      <c r="I348" s="3" t="s">
        <v>2732</v>
      </c>
      <c r="J348" s="3" t="s">
        <v>35</v>
      </c>
      <c r="K348" s="6">
        <v>5</v>
      </c>
      <c r="L348" s="6"/>
      <c r="M348" s="6">
        <f t="shared" si="52"/>
        <v>5</v>
      </c>
      <c r="N348" s="8" t="s">
        <v>2934</v>
      </c>
      <c r="O348" s="149"/>
    </row>
    <row r="349" spans="1:15" s="9" customFormat="1" ht="16.5" customHeight="1">
      <c r="A349" s="2">
        <v>40</v>
      </c>
      <c r="B349" s="3">
        <v>27</v>
      </c>
      <c r="C349" s="3">
        <v>304</v>
      </c>
      <c r="D349" s="3" t="s">
        <v>982</v>
      </c>
      <c r="E349" s="3"/>
      <c r="F349" s="4"/>
      <c r="G349" s="5" t="s">
        <v>1017</v>
      </c>
      <c r="H349" s="4" t="s">
        <v>1015</v>
      </c>
      <c r="I349" s="3" t="s">
        <v>2733</v>
      </c>
      <c r="J349" s="3" t="s">
        <v>35</v>
      </c>
      <c r="K349" s="6">
        <v>10</v>
      </c>
      <c r="L349" s="6"/>
      <c r="M349" s="6">
        <f t="shared" si="52"/>
        <v>10</v>
      </c>
      <c r="N349" s="8" t="s">
        <v>2934</v>
      </c>
      <c r="O349" s="149"/>
    </row>
    <row r="350" spans="1:15" s="9" customFormat="1" ht="16.5" customHeight="1">
      <c r="A350" s="2">
        <v>40</v>
      </c>
      <c r="B350" s="3">
        <v>28</v>
      </c>
      <c r="C350" s="3">
        <v>305</v>
      </c>
      <c r="D350" s="3" t="s">
        <v>982</v>
      </c>
      <c r="E350" s="3"/>
      <c r="F350" s="4"/>
      <c r="G350" s="5" t="s">
        <v>1017</v>
      </c>
      <c r="H350" s="4" t="s">
        <v>1018</v>
      </c>
      <c r="I350" s="3" t="s">
        <v>2740</v>
      </c>
      <c r="J350" s="3" t="s">
        <v>35</v>
      </c>
      <c r="K350" s="6">
        <v>5</v>
      </c>
      <c r="L350" s="6"/>
      <c r="M350" s="6">
        <f t="shared" si="52"/>
        <v>5</v>
      </c>
      <c r="N350" s="8" t="s">
        <v>2934</v>
      </c>
      <c r="O350" s="149"/>
    </row>
    <row r="351" spans="1:15" s="9" customFormat="1" ht="16.5" customHeight="1">
      <c r="A351" s="2">
        <v>40</v>
      </c>
      <c r="B351" s="3">
        <v>29</v>
      </c>
      <c r="C351" s="3">
        <v>306</v>
      </c>
      <c r="D351" s="3" t="s">
        <v>998</v>
      </c>
      <c r="E351" s="3"/>
      <c r="F351" s="4" t="s">
        <v>1019</v>
      </c>
      <c r="G351" s="5" t="s">
        <v>1020</v>
      </c>
      <c r="H351" s="4"/>
      <c r="I351" s="3"/>
      <c r="J351" s="3" t="s">
        <v>1021</v>
      </c>
      <c r="K351" s="6">
        <f>3+30</f>
        <v>33</v>
      </c>
      <c r="L351" s="6"/>
      <c r="M351" s="6">
        <f t="shared" si="52"/>
        <v>33</v>
      </c>
      <c r="N351" s="8">
        <v>51510</v>
      </c>
      <c r="O351" s="149"/>
    </row>
    <row r="352" spans="1:15" s="9" customFormat="1" ht="16.5" customHeight="1">
      <c r="A352" s="2">
        <v>40</v>
      </c>
      <c r="B352" s="3">
        <v>30</v>
      </c>
      <c r="C352" s="3">
        <v>307</v>
      </c>
      <c r="D352" s="3" t="s">
        <v>567</v>
      </c>
      <c r="E352" s="3"/>
      <c r="F352" s="4"/>
      <c r="G352" s="5" t="s">
        <v>1022</v>
      </c>
      <c r="H352" s="4" t="s">
        <v>1023</v>
      </c>
      <c r="I352" s="3" t="s">
        <v>2741</v>
      </c>
      <c r="J352" s="3" t="s">
        <v>1024</v>
      </c>
      <c r="K352" s="6">
        <v>10</v>
      </c>
      <c r="L352" s="6"/>
      <c r="M352" s="6">
        <f t="shared" si="52"/>
        <v>10</v>
      </c>
      <c r="N352" s="8" t="s">
        <v>2934</v>
      </c>
      <c r="O352" s="149"/>
    </row>
    <row r="353" spans="1:15" s="9" customFormat="1" ht="16.5" customHeight="1">
      <c r="A353" s="13"/>
      <c r="B353" s="14"/>
      <c r="C353" s="14"/>
      <c r="D353" s="14"/>
      <c r="E353" s="14"/>
      <c r="F353" s="15"/>
      <c r="G353" s="16"/>
      <c r="H353" s="15"/>
      <c r="I353" s="15"/>
      <c r="J353" s="14"/>
      <c r="K353" s="157">
        <f>SUM(K323:K352)</f>
        <v>462</v>
      </c>
      <c r="L353" s="157">
        <f t="shared" ref="L353:M353" si="53">SUM(L323:L352)</f>
        <v>165</v>
      </c>
      <c r="M353" s="157">
        <f t="shared" si="53"/>
        <v>627</v>
      </c>
      <c r="N353" s="17"/>
      <c r="O353" s="145"/>
    </row>
    <row r="354" spans="1:15" s="9" customFormat="1" ht="16.5" customHeight="1">
      <c r="A354" s="2">
        <v>41</v>
      </c>
      <c r="B354" s="3">
        <v>1</v>
      </c>
      <c r="C354" s="3">
        <v>308</v>
      </c>
      <c r="D354" s="3" t="s">
        <v>75</v>
      </c>
      <c r="E354" s="3"/>
      <c r="F354" s="4" t="s">
        <v>629</v>
      </c>
      <c r="G354" s="18" t="s">
        <v>630</v>
      </c>
      <c r="H354" s="4" t="s">
        <v>175</v>
      </c>
      <c r="I354" s="4" t="s">
        <v>631</v>
      </c>
      <c r="J354" s="4" t="s">
        <v>79</v>
      </c>
      <c r="K354" s="6">
        <v>70</v>
      </c>
      <c r="L354" s="6"/>
      <c r="M354" s="6">
        <f t="shared" si="52"/>
        <v>70</v>
      </c>
      <c r="N354" s="8">
        <v>16060</v>
      </c>
      <c r="O354" s="149"/>
    </row>
    <row r="355" spans="1:15" s="9" customFormat="1" ht="16.5" customHeight="1">
      <c r="A355" s="2">
        <v>41</v>
      </c>
      <c r="B355" s="3">
        <v>2</v>
      </c>
      <c r="C355" s="3">
        <v>309</v>
      </c>
      <c r="D355" s="3" t="s">
        <v>75</v>
      </c>
      <c r="E355" s="3"/>
      <c r="F355" s="4" t="s">
        <v>632</v>
      </c>
      <c r="G355" s="18" t="s">
        <v>633</v>
      </c>
      <c r="H355" s="4" t="s">
        <v>634</v>
      </c>
      <c r="I355" s="4" t="s">
        <v>631</v>
      </c>
      <c r="J355" s="4" t="s">
        <v>79</v>
      </c>
      <c r="K355" s="6">
        <v>150</v>
      </c>
      <c r="L355" s="6"/>
      <c r="M355" s="6">
        <f t="shared" si="52"/>
        <v>150</v>
      </c>
      <c r="N355" s="8">
        <v>71290</v>
      </c>
      <c r="O355" s="149"/>
    </row>
    <row r="356" spans="1:15" s="9" customFormat="1" ht="16.5" customHeight="1">
      <c r="A356" s="2">
        <v>41</v>
      </c>
      <c r="B356" s="3">
        <v>3</v>
      </c>
      <c r="C356" s="3">
        <v>310</v>
      </c>
      <c r="D356" s="3" t="s">
        <v>75</v>
      </c>
      <c r="E356" s="3"/>
      <c r="F356" s="4" t="s">
        <v>635</v>
      </c>
      <c r="G356" s="18" t="s">
        <v>636</v>
      </c>
      <c r="H356" s="4" t="s">
        <v>637</v>
      </c>
      <c r="I356" s="4" t="s">
        <v>631</v>
      </c>
      <c r="J356" s="4" t="s">
        <v>79</v>
      </c>
      <c r="K356" s="6">
        <v>600</v>
      </c>
      <c r="L356" s="6"/>
      <c r="M356" s="6">
        <f t="shared" si="52"/>
        <v>600</v>
      </c>
      <c r="N356" s="8">
        <v>58210</v>
      </c>
      <c r="O356" s="149"/>
    </row>
    <row r="357" spans="1:15" s="9" customFormat="1" ht="16.5" customHeight="1">
      <c r="A357" s="2">
        <v>41</v>
      </c>
      <c r="B357" s="3">
        <v>4</v>
      </c>
      <c r="C357" s="3">
        <v>311</v>
      </c>
      <c r="D357" s="3" t="s">
        <v>638</v>
      </c>
      <c r="E357" s="3"/>
      <c r="F357" s="4"/>
      <c r="G357" s="18" t="s">
        <v>639</v>
      </c>
      <c r="H357" s="4" t="s">
        <v>640</v>
      </c>
      <c r="I357" s="4"/>
      <c r="J357" s="3" t="s">
        <v>35</v>
      </c>
      <c r="K357" s="6">
        <f>3+10+5</f>
        <v>18</v>
      </c>
      <c r="L357" s="6"/>
      <c r="M357" s="6">
        <f t="shared" si="52"/>
        <v>18</v>
      </c>
      <c r="N357" s="8" t="s">
        <v>2934</v>
      </c>
      <c r="O357" s="149"/>
    </row>
    <row r="358" spans="1:15" s="9" customFormat="1" ht="16.5" customHeight="1">
      <c r="A358" s="2">
        <v>41</v>
      </c>
      <c r="B358" s="3">
        <v>5</v>
      </c>
      <c r="C358" s="3">
        <v>312</v>
      </c>
      <c r="D358" s="3" t="s">
        <v>638</v>
      </c>
      <c r="E358" s="3"/>
      <c r="F358" s="4"/>
      <c r="G358" s="18" t="s">
        <v>641</v>
      </c>
      <c r="H358" s="4" t="s">
        <v>642</v>
      </c>
      <c r="I358" s="4"/>
      <c r="J358" s="3" t="s">
        <v>35</v>
      </c>
      <c r="K358" s="6">
        <f>2+5+5</f>
        <v>12</v>
      </c>
      <c r="L358" s="6"/>
      <c r="M358" s="6">
        <f t="shared" si="52"/>
        <v>12</v>
      </c>
      <c r="N358" s="8" t="s">
        <v>2934</v>
      </c>
      <c r="O358" s="149"/>
    </row>
    <row r="359" spans="1:15" s="9" customFormat="1" ht="16.5" customHeight="1">
      <c r="A359" s="42"/>
      <c r="B359" s="14"/>
      <c r="C359" s="14"/>
      <c r="D359" s="14"/>
      <c r="E359" s="14"/>
      <c r="F359" s="15"/>
      <c r="G359" s="16"/>
      <c r="H359" s="15"/>
      <c r="I359" s="15"/>
      <c r="J359" s="14"/>
      <c r="K359" s="157">
        <f>SUM(K354:K358)</f>
        <v>850</v>
      </c>
      <c r="L359" s="157">
        <f t="shared" ref="L359:M359" si="54">SUM(L354:L358)</f>
        <v>0</v>
      </c>
      <c r="M359" s="157">
        <f t="shared" si="54"/>
        <v>850</v>
      </c>
      <c r="N359" s="17"/>
      <c r="O359" s="145"/>
    </row>
    <row r="360" spans="1:15" ht="16.5" customHeight="1">
      <c r="A360" s="2">
        <v>42</v>
      </c>
      <c r="B360" s="3">
        <v>1</v>
      </c>
      <c r="C360" s="3">
        <v>313</v>
      </c>
      <c r="D360" s="3" t="s">
        <v>33</v>
      </c>
      <c r="E360" s="3"/>
      <c r="F360" s="4"/>
      <c r="G360" s="18" t="s">
        <v>650</v>
      </c>
      <c r="H360" s="4" t="s">
        <v>1299</v>
      </c>
      <c r="I360" s="4" t="s">
        <v>1300</v>
      </c>
      <c r="J360" s="3" t="s">
        <v>13</v>
      </c>
      <c r="K360" s="6">
        <f>5+15</f>
        <v>20</v>
      </c>
      <c r="L360" s="6"/>
      <c r="M360" s="6">
        <f t="shared" ref="M360:M387" si="55">K360+L360</f>
        <v>20</v>
      </c>
      <c r="N360" s="8" t="s">
        <v>2934</v>
      </c>
      <c r="O360" s="144"/>
    </row>
    <row r="361" spans="1:15" ht="16.5" customHeight="1">
      <c r="A361" s="2">
        <v>42</v>
      </c>
      <c r="B361" s="3">
        <v>2</v>
      </c>
      <c r="C361" s="3">
        <v>314</v>
      </c>
      <c r="D361" s="3" t="s">
        <v>33</v>
      </c>
      <c r="E361" s="3"/>
      <c r="F361" s="4"/>
      <c r="G361" s="18" t="s">
        <v>650</v>
      </c>
      <c r="H361" s="4" t="s">
        <v>1301</v>
      </c>
      <c r="I361" s="4" t="s">
        <v>1302</v>
      </c>
      <c r="J361" s="3" t="s">
        <v>13</v>
      </c>
      <c r="K361" s="6">
        <f>5+25</f>
        <v>30</v>
      </c>
      <c r="L361" s="6"/>
      <c r="M361" s="6">
        <f t="shared" si="55"/>
        <v>30</v>
      </c>
      <c r="N361" s="8" t="s">
        <v>2934</v>
      </c>
      <c r="O361" s="144"/>
    </row>
    <row r="362" spans="1:15" ht="16.5" customHeight="1">
      <c r="A362" s="2">
        <v>42</v>
      </c>
      <c r="B362" s="3">
        <v>3</v>
      </c>
      <c r="C362" s="3">
        <v>315</v>
      </c>
      <c r="D362" s="3" t="s">
        <v>33</v>
      </c>
      <c r="E362" s="3"/>
      <c r="F362" s="4"/>
      <c r="G362" s="18" t="s">
        <v>650</v>
      </c>
      <c r="H362" s="4" t="s">
        <v>1303</v>
      </c>
      <c r="I362" s="4" t="s">
        <v>1302</v>
      </c>
      <c r="J362" s="3" t="s">
        <v>13</v>
      </c>
      <c r="K362" s="6">
        <f>5+20</f>
        <v>25</v>
      </c>
      <c r="L362" s="6"/>
      <c r="M362" s="6">
        <f t="shared" si="55"/>
        <v>25</v>
      </c>
      <c r="N362" s="8" t="s">
        <v>2934</v>
      </c>
      <c r="O362" s="144"/>
    </row>
    <row r="363" spans="1:15" ht="16.5" customHeight="1">
      <c r="A363" s="2">
        <v>42</v>
      </c>
      <c r="B363" s="3">
        <v>4</v>
      </c>
      <c r="C363" s="3">
        <v>316</v>
      </c>
      <c r="D363" s="3" t="s">
        <v>33</v>
      </c>
      <c r="E363" s="3"/>
      <c r="F363" s="4"/>
      <c r="G363" s="18" t="s">
        <v>650</v>
      </c>
      <c r="H363" s="4" t="s">
        <v>1304</v>
      </c>
      <c r="I363" s="4" t="s">
        <v>1302</v>
      </c>
      <c r="J363" s="3" t="s">
        <v>13</v>
      </c>
      <c r="K363" s="6">
        <f>5+25</f>
        <v>30</v>
      </c>
      <c r="L363" s="6"/>
      <c r="M363" s="6">
        <f t="shared" si="55"/>
        <v>30</v>
      </c>
      <c r="N363" s="8" t="s">
        <v>2934</v>
      </c>
      <c r="O363" s="144"/>
    </row>
    <row r="364" spans="1:15" ht="16.5" customHeight="1">
      <c r="A364" s="2">
        <v>42</v>
      </c>
      <c r="B364" s="3">
        <v>5</v>
      </c>
      <c r="C364" s="3">
        <v>317</v>
      </c>
      <c r="D364" s="3" t="s">
        <v>33</v>
      </c>
      <c r="E364" s="3"/>
      <c r="F364" s="4"/>
      <c r="G364" s="18" t="s">
        <v>650</v>
      </c>
      <c r="H364" s="4" t="s">
        <v>1305</v>
      </c>
      <c r="I364" s="4" t="s">
        <v>1302</v>
      </c>
      <c r="J364" s="3" t="s">
        <v>13</v>
      </c>
      <c r="K364" s="6">
        <f>5+15</f>
        <v>20</v>
      </c>
      <c r="L364" s="6"/>
      <c r="M364" s="6">
        <f t="shared" si="55"/>
        <v>20</v>
      </c>
      <c r="N364" s="8" t="s">
        <v>2934</v>
      </c>
      <c r="O364" s="144"/>
    </row>
    <row r="365" spans="1:15" ht="16.5" customHeight="1">
      <c r="A365" s="2">
        <v>42</v>
      </c>
      <c r="B365" s="3">
        <v>6</v>
      </c>
      <c r="C365" s="3">
        <v>318</v>
      </c>
      <c r="D365" s="3" t="s">
        <v>33</v>
      </c>
      <c r="E365" s="3"/>
      <c r="F365" s="4"/>
      <c r="G365" s="18" t="s">
        <v>650</v>
      </c>
      <c r="H365" s="4" t="s">
        <v>1306</v>
      </c>
      <c r="I365" s="4" t="s">
        <v>1302</v>
      </c>
      <c r="J365" s="3" t="s">
        <v>13</v>
      </c>
      <c r="K365" s="6">
        <f>2+10</f>
        <v>12</v>
      </c>
      <c r="L365" s="6"/>
      <c r="M365" s="6">
        <f t="shared" si="55"/>
        <v>12</v>
      </c>
      <c r="N365" s="8" t="s">
        <v>2934</v>
      </c>
      <c r="O365" s="144"/>
    </row>
    <row r="366" spans="1:15" ht="16.5" customHeight="1">
      <c r="A366" s="2">
        <v>42</v>
      </c>
      <c r="B366" s="3">
        <v>7</v>
      </c>
      <c r="C366" s="3">
        <v>319</v>
      </c>
      <c r="D366" s="3" t="s">
        <v>33</v>
      </c>
      <c r="E366" s="3"/>
      <c r="F366" s="4"/>
      <c r="G366" s="18" t="s">
        <v>650</v>
      </c>
      <c r="H366" s="4" t="s">
        <v>1307</v>
      </c>
      <c r="I366" s="4" t="s">
        <v>1302</v>
      </c>
      <c r="J366" s="3" t="s">
        <v>13</v>
      </c>
      <c r="K366" s="6">
        <f>2+8</f>
        <v>10</v>
      </c>
      <c r="L366" s="6"/>
      <c r="M366" s="6">
        <f t="shared" si="55"/>
        <v>10</v>
      </c>
      <c r="N366" s="8" t="s">
        <v>2934</v>
      </c>
      <c r="O366" s="144"/>
    </row>
    <row r="367" spans="1:15" ht="16.5" customHeight="1">
      <c r="A367" s="2">
        <v>42</v>
      </c>
      <c r="B367" s="3">
        <v>8</v>
      </c>
      <c r="C367" s="3">
        <v>320</v>
      </c>
      <c r="D367" s="3" t="s">
        <v>33</v>
      </c>
      <c r="E367" s="3"/>
      <c r="F367" s="4"/>
      <c r="G367" s="18" t="s">
        <v>36</v>
      </c>
      <c r="H367" s="4" t="s">
        <v>37</v>
      </c>
      <c r="I367" s="4" t="s">
        <v>1308</v>
      </c>
      <c r="J367" s="3" t="s">
        <v>18</v>
      </c>
      <c r="K367" s="6">
        <v>20</v>
      </c>
      <c r="L367" s="6"/>
      <c r="M367" s="6">
        <f t="shared" si="55"/>
        <v>20</v>
      </c>
      <c r="N367" s="8" t="s">
        <v>2934</v>
      </c>
      <c r="O367" s="151"/>
    </row>
    <row r="368" spans="1:15" ht="16.5" customHeight="1">
      <c r="A368" s="2">
        <v>42</v>
      </c>
      <c r="B368" s="3">
        <v>9</v>
      </c>
      <c r="C368" s="3">
        <v>321</v>
      </c>
      <c r="D368" s="3" t="s">
        <v>33</v>
      </c>
      <c r="E368" s="3"/>
      <c r="F368" s="4"/>
      <c r="G368" s="18" t="s">
        <v>39</v>
      </c>
      <c r="H368" s="4" t="s">
        <v>40</v>
      </c>
      <c r="I368" s="4" t="s">
        <v>1308</v>
      </c>
      <c r="J368" s="3" t="s">
        <v>18</v>
      </c>
      <c r="K368" s="6">
        <v>10</v>
      </c>
      <c r="L368" s="6"/>
      <c r="M368" s="6">
        <f t="shared" si="55"/>
        <v>10</v>
      </c>
      <c r="N368" s="8" t="s">
        <v>2934</v>
      </c>
      <c r="O368" s="151"/>
    </row>
    <row r="369" spans="1:15" ht="16.5" customHeight="1">
      <c r="A369" s="2">
        <v>42</v>
      </c>
      <c r="B369" s="3">
        <v>10</v>
      </c>
      <c r="C369" s="3">
        <v>322</v>
      </c>
      <c r="D369" s="3" t="s">
        <v>75</v>
      </c>
      <c r="E369" s="3"/>
      <c r="F369" s="4"/>
      <c r="G369" s="12" t="s">
        <v>1309</v>
      </c>
      <c r="H369" s="4" t="s">
        <v>1310</v>
      </c>
      <c r="I369" s="44" t="s">
        <v>652</v>
      </c>
      <c r="J369" s="3" t="s">
        <v>674</v>
      </c>
      <c r="K369" s="6">
        <v>10</v>
      </c>
      <c r="L369" s="6"/>
      <c r="M369" s="6">
        <f t="shared" si="55"/>
        <v>10</v>
      </c>
      <c r="N369" s="8" t="s">
        <v>2934</v>
      </c>
      <c r="O369" s="151"/>
    </row>
    <row r="370" spans="1:15" ht="16.5" customHeight="1">
      <c r="A370" s="2">
        <v>42</v>
      </c>
      <c r="B370" s="3">
        <v>11</v>
      </c>
      <c r="C370" s="3">
        <v>323</v>
      </c>
      <c r="D370" s="3" t="s">
        <v>75</v>
      </c>
      <c r="E370" s="3"/>
      <c r="F370" s="4"/>
      <c r="G370" s="5" t="s">
        <v>1311</v>
      </c>
      <c r="H370" s="44" t="s">
        <v>1312</v>
      </c>
      <c r="I370" s="44" t="s">
        <v>652</v>
      </c>
      <c r="J370" s="52" t="s">
        <v>310</v>
      </c>
      <c r="K370" s="6">
        <v>80</v>
      </c>
      <c r="L370" s="6"/>
      <c r="M370" s="6">
        <f t="shared" si="55"/>
        <v>80</v>
      </c>
      <c r="N370" s="8" t="s">
        <v>2934</v>
      </c>
      <c r="O370" s="151"/>
    </row>
    <row r="371" spans="1:15" ht="16.5" customHeight="1">
      <c r="A371" s="2">
        <v>42</v>
      </c>
      <c r="B371" s="3">
        <v>12</v>
      </c>
      <c r="C371" s="3">
        <v>324</v>
      </c>
      <c r="D371" s="3" t="s">
        <v>75</v>
      </c>
      <c r="E371" s="3"/>
      <c r="F371" s="4"/>
      <c r="G371" s="18" t="s">
        <v>1313</v>
      </c>
      <c r="H371" s="4" t="s">
        <v>1314</v>
      </c>
      <c r="I371" s="4" t="s">
        <v>1315</v>
      </c>
      <c r="J371" s="3" t="s">
        <v>310</v>
      </c>
      <c r="K371" s="6">
        <v>5</v>
      </c>
      <c r="L371" s="6"/>
      <c r="M371" s="6">
        <f t="shared" si="55"/>
        <v>5</v>
      </c>
      <c r="N371" s="8" t="s">
        <v>2934</v>
      </c>
      <c r="O371" s="151"/>
    </row>
    <row r="372" spans="1:15" ht="16.5" customHeight="1">
      <c r="A372" s="2">
        <v>42</v>
      </c>
      <c r="B372" s="3">
        <v>13</v>
      </c>
      <c r="C372" s="3">
        <v>325</v>
      </c>
      <c r="D372" s="3" t="s">
        <v>75</v>
      </c>
      <c r="E372" s="3"/>
      <c r="F372" s="4"/>
      <c r="G372" s="5" t="s">
        <v>1316</v>
      </c>
      <c r="H372" s="44" t="s">
        <v>1314</v>
      </c>
      <c r="I372" s="44" t="s">
        <v>652</v>
      </c>
      <c r="J372" s="3" t="s">
        <v>310</v>
      </c>
      <c r="K372" s="6">
        <v>50</v>
      </c>
      <c r="L372" s="6"/>
      <c r="M372" s="6">
        <f t="shared" si="55"/>
        <v>50</v>
      </c>
      <c r="N372" s="8" t="s">
        <v>2934</v>
      </c>
      <c r="O372" s="151"/>
    </row>
    <row r="373" spans="1:15" ht="16.5" customHeight="1">
      <c r="A373" s="2">
        <v>42</v>
      </c>
      <c r="B373" s="3">
        <v>14</v>
      </c>
      <c r="C373" s="3">
        <v>326</v>
      </c>
      <c r="D373" s="3" t="s">
        <v>75</v>
      </c>
      <c r="E373" s="3"/>
      <c r="F373" s="4"/>
      <c r="G373" s="5" t="s">
        <v>1317</v>
      </c>
      <c r="H373" s="44" t="s">
        <v>1318</v>
      </c>
      <c r="I373" s="44" t="s">
        <v>652</v>
      </c>
      <c r="J373" s="3" t="s">
        <v>310</v>
      </c>
      <c r="K373" s="6">
        <v>100</v>
      </c>
      <c r="L373" s="6"/>
      <c r="M373" s="6">
        <f t="shared" si="55"/>
        <v>100</v>
      </c>
      <c r="N373" s="8" t="s">
        <v>2934</v>
      </c>
      <c r="O373" s="151"/>
    </row>
    <row r="374" spans="1:15" ht="16.5" customHeight="1">
      <c r="A374" s="2">
        <v>42</v>
      </c>
      <c r="B374" s="3">
        <v>15</v>
      </c>
      <c r="C374" s="3">
        <v>327</v>
      </c>
      <c r="D374" s="3" t="s">
        <v>75</v>
      </c>
      <c r="E374" s="3"/>
      <c r="F374" s="4"/>
      <c r="G374" s="18" t="s">
        <v>1319</v>
      </c>
      <c r="H374" s="4" t="s">
        <v>1318</v>
      </c>
      <c r="I374" s="4" t="s">
        <v>1320</v>
      </c>
      <c r="J374" s="3" t="s">
        <v>310</v>
      </c>
      <c r="K374" s="6">
        <v>5</v>
      </c>
      <c r="L374" s="6"/>
      <c r="M374" s="6">
        <f t="shared" si="55"/>
        <v>5</v>
      </c>
      <c r="N374" s="8" t="s">
        <v>2934</v>
      </c>
      <c r="O374" s="151"/>
    </row>
    <row r="375" spans="1:15" ht="16.5" customHeight="1">
      <c r="A375" s="2">
        <v>42</v>
      </c>
      <c r="B375" s="3">
        <v>16</v>
      </c>
      <c r="C375" s="3">
        <v>328</v>
      </c>
      <c r="D375" s="3" t="s">
        <v>75</v>
      </c>
      <c r="E375" s="3"/>
      <c r="F375" s="4"/>
      <c r="G375" s="18" t="s">
        <v>1319</v>
      </c>
      <c r="H375" s="4" t="s">
        <v>1321</v>
      </c>
      <c r="I375" s="4" t="s">
        <v>1320</v>
      </c>
      <c r="J375" s="3" t="s">
        <v>310</v>
      </c>
      <c r="K375" s="6">
        <v>5</v>
      </c>
      <c r="L375" s="6"/>
      <c r="M375" s="6">
        <f t="shared" si="55"/>
        <v>5</v>
      </c>
      <c r="N375" s="8" t="s">
        <v>2934</v>
      </c>
      <c r="O375" s="151"/>
    </row>
    <row r="376" spans="1:15" ht="16.5" customHeight="1">
      <c r="A376" s="2">
        <v>42</v>
      </c>
      <c r="B376" s="3">
        <v>17</v>
      </c>
      <c r="C376" s="3">
        <v>329</v>
      </c>
      <c r="D376" s="3" t="s">
        <v>75</v>
      </c>
      <c r="E376" s="3"/>
      <c r="F376" s="4"/>
      <c r="G376" s="5" t="s">
        <v>1317</v>
      </c>
      <c r="H376" s="44" t="s">
        <v>1321</v>
      </c>
      <c r="I376" s="44" t="s">
        <v>652</v>
      </c>
      <c r="J376" s="52" t="s">
        <v>310</v>
      </c>
      <c r="K376" s="6">
        <v>20</v>
      </c>
      <c r="L376" s="6"/>
      <c r="M376" s="6">
        <f t="shared" si="55"/>
        <v>20</v>
      </c>
      <c r="N376" s="8" t="s">
        <v>2934</v>
      </c>
      <c r="O376" s="151"/>
    </row>
    <row r="377" spans="1:15" ht="16.5" customHeight="1">
      <c r="A377" s="2">
        <v>42</v>
      </c>
      <c r="B377" s="3">
        <v>18</v>
      </c>
      <c r="C377" s="3">
        <v>330</v>
      </c>
      <c r="D377" s="3" t="s">
        <v>75</v>
      </c>
      <c r="E377" s="3"/>
      <c r="F377" s="4"/>
      <c r="G377" s="18" t="s">
        <v>1322</v>
      </c>
      <c r="H377" s="4" t="s">
        <v>1323</v>
      </c>
      <c r="I377" s="4" t="s">
        <v>1320</v>
      </c>
      <c r="J377" s="4" t="s">
        <v>13</v>
      </c>
      <c r="K377" s="6">
        <v>10</v>
      </c>
      <c r="L377" s="6"/>
      <c r="M377" s="6">
        <f t="shared" si="55"/>
        <v>10</v>
      </c>
      <c r="N377" s="8" t="s">
        <v>2934</v>
      </c>
      <c r="O377" s="151"/>
    </row>
    <row r="378" spans="1:15" ht="16.5" customHeight="1">
      <c r="A378" s="2">
        <v>42</v>
      </c>
      <c r="B378" s="3">
        <v>19</v>
      </c>
      <c r="C378" s="3">
        <v>331</v>
      </c>
      <c r="D378" s="3" t="s">
        <v>75</v>
      </c>
      <c r="E378" s="3"/>
      <c r="F378" s="4"/>
      <c r="G378" s="18" t="s">
        <v>1322</v>
      </c>
      <c r="H378" s="4" t="s">
        <v>1324</v>
      </c>
      <c r="I378" s="4" t="s">
        <v>1320</v>
      </c>
      <c r="J378" s="4" t="s">
        <v>13</v>
      </c>
      <c r="K378" s="6">
        <v>5</v>
      </c>
      <c r="L378" s="6"/>
      <c r="M378" s="6">
        <f t="shared" si="55"/>
        <v>5</v>
      </c>
      <c r="N378" s="8" t="s">
        <v>2934</v>
      </c>
      <c r="O378" s="151"/>
    </row>
    <row r="379" spans="1:15" ht="16.5" customHeight="1">
      <c r="A379" s="2">
        <v>42</v>
      </c>
      <c r="B379" s="3">
        <v>20</v>
      </c>
      <c r="C379" s="3">
        <v>332</v>
      </c>
      <c r="D379" s="3" t="s">
        <v>75</v>
      </c>
      <c r="E379" s="3"/>
      <c r="F379" s="4"/>
      <c r="G379" s="18" t="s">
        <v>1322</v>
      </c>
      <c r="H379" s="4" t="s">
        <v>1325</v>
      </c>
      <c r="I379" s="4" t="s">
        <v>1320</v>
      </c>
      <c r="J379" s="4" t="s">
        <v>13</v>
      </c>
      <c r="K379" s="6">
        <v>5</v>
      </c>
      <c r="L379" s="6"/>
      <c r="M379" s="6">
        <f t="shared" si="55"/>
        <v>5</v>
      </c>
      <c r="N379" s="8" t="s">
        <v>2934</v>
      </c>
      <c r="O379" s="151"/>
    </row>
    <row r="380" spans="1:15" ht="16.5" customHeight="1">
      <c r="A380" s="2">
        <v>42</v>
      </c>
      <c r="B380" s="3">
        <v>21</v>
      </c>
      <c r="C380" s="3">
        <v>333</v>
      </c>
      <c r="D380" s="3" t="s">
        <v>75</v>
      </c>
      <c r="E380" s="3"/>
      <c r="F380" s="4"/>
      <c r="G380" s="18" t="s">
        <v>1322</v>
      </c>
      <c r="H380" s="4" t="s">
        <v>1326</v>
      </c>
      <c r="I380" s="4" t="s">
        <v>1320</v>
      </c>
      <c r="J380" s="4" t="s">
        <v>13</v>
      </c>
      <c r="K380" s="6">
        <v>5</v>
      </c>
      <c r="L380" s="6"/>
      <c r="M380" s="6">
        <f t="shared" si="55"/>
        <v>5</v>
      </c>
      <c r="N380" s="8" t="s">
        <v>2934</v>
      </c>
      <c r="O380" s="151"/>
    </row>
    <row r="381" spans="1:15" ht="16.5" customHeight="1">
      <c r="A381" s="2">
        <v>42</v>
      </c>
      <c r="B381" s="3">
        <v>22</v>
      </c>
      <c r="C381" s="3">
        <v>334</v>
      </c>
      <c r="D381" s="3" t="s">
        <v>2904</v>
      </c>
      <c r="E381" s="3"/>
      <c r="F381" s="4"/>
      <c r="G381" s="18" t="s">
        <v>1322</v>
      </c>
      <c r="H381" s="4" t="s">
        <v>1327</v>
      </c>
      <c r="I381" s="4" t="s">
        <v>1320</v>
      </c>
      <c r="J381" s="4" t="s">
        <v>13</v>
      </c>
      <c r="K381" s="6">
        <v>5</v>
      </c>
      <c r="L381" s="6"/>
      <c r="M381" s="6">
        <f t="shared" si="55"/>
        <v>5</v>
      </c>
      <c r="N381" s="8" t="s">
        <v>2934</v>
      </c>
      <c r="O381" s="151"/>
    </row>
    <row r="382" spans="1:15" ht="16.5" customHeight="1">
      <c r="A382" s="2">
        <v>42</v>
      </c>
      <c r="B382" s="3">
        <v>23</v>
      </c>
      <c r="C382" s="3">
        <v>335</v>
      </c>
      <c r="D382" s="3" t="s">
        <v>2905</v>
      </c>
      <c r="E382" s="3"/>
      <c r="F382" s="4" t="s">
        <v>665</v>
      </c>
      <c r="G382" s="18" t="s">
        <v>1328</v>
      </c>
      <c r="H382" s="4" t="s">
        <v>1329</v>
      </c>
      <c r="I382" s="4" t="s">
        <v>1330</v>
      </c>
      <c r="J382" s="4" t="s">
        <v>28</v>
      </c>
      <c r="K382" s="6">
        <v>80</v>
      </c>
      <c r="L382" s="6"/>
      <c r="M382" s="6">
        <f t="shared" si="55"/>
        <v>80</v>
      </c>
      <c r="N382" s="8" t="s">
        <v>19</v>
      </c>
      <c r="O382" s="151"/>
    </row>
    <row r="383" spans="1:15" ht="16.5" customHeight="1">
      <c r="A383" s="2">
        <v>42</v>
      </c>
      <c r="B383" s="3">
        <v>24</v>
      </c>
      <c r="C383" s="3">
        <v>336</v>
      </c>
      <c r="D383" s="3" t="s">
        <v>2906</v>
      </c>
      <c r="E383" s="3"/>
      <c r="F383" s="4" t="s">
        <v>1331</v>
      </c>
      <c r="G383" s="18" t="s">
        <v>1332</v>
      </c>
      <c r="H383" s="4" t="s">
        <v>1333</v>
      </c>
      <c r="I383" s="4"/>
      <c r="J383" s="4" t="s">
        <v>85</v>
      </c>
      <c r="K383" s="6">
        <v>50</v>
      </c>
      <c r="L383" s="6"/>
      <c r="M383" s="6">
        <f t="shared" si="55"/>
        <v>50</v>
      </c>
      <c r="N383" s="8">
        <v>36540</v>
      </c>
      <c r="O383" s="144"/>
    </row>
    <row r="384" spans="1:15" ht="16.5" customHeight="1">
      <c r="A384" s="2">
        <v>42</v>
      </c>
      <c r="B384" s="3">
        <v>25</v>
      </c>
      <c r="C384" s="3">
        <v>337</v>
      </c>
      <c r="D384" s="3" t="s">
        <v>2907</v>
      </c>
      <c r="E384" s="3"/>
      <c r="F384" s="4" t="s">
        <v>1334</v>
      </c>
      <c r="G384" s="18" t="s">
        <v>1332</v>
      </c>
      <c r="H384" s="4" t="s">
        <v>1335</v>
      </c>
      <c r="I384" s="4"/>
      <c r="J384" s="4" t="s">
        <v>85</v>
      </c>
      <c r="K384" s="6">
        <v>30</v>
      </c>
      <c r="L384" s="6"/>
      <c r="M384" s="6">
        <f t="shared" si="55"/>
        <v>30</v>
      </c>
      <c r="N384" s="8">
        <v>45210</v>
      </c>
      <c r="O384" s="144"/>
    </row>
    <row r="385" spans="1:15" ht="16.5" customHeight="1">
      <c r="A385" s="2">
        <v>42</v>
      </c>
      <c r="B385" s="3">
        <v>26</v>
      </c>
      <c r="C385" s="3">
        <v>338</v>
      </c>
      <c r="D385" s="3" t="s">
        <v>2905</v>
      </c>
      <c r="E385" s="3"/>
      <c r="F385" s="4" t="s">
        <v>1336</v>
      </c>
      <c r="G385" s="18" t="s">
        <v>1332</v>
      </c>
      <c r="H385" s="4" t="s">
        <v>1337</v>
      </c>
      <c r="I385" s="4"/>
      <c r="J385" s="4" t="s">
        <v>85</v>
      </c>
      <c r="K385" s="6">
        <v>10</v>
      </c>
      <c r="L385" s="6"/>
      <c r="M385" s="6">
        <f t="shared" si="55"/>
        <v>10</v>
      </c>
      <c r="N385" s="8">
        <v>55960</v>
      </c>
      <c r="O385" s="144"/>
    </row>
    <row r="386" spans="1:15" ht="16.5" customHeight="1">
      <c r="A386" s="2">
        <v>42</v>
      </c>
      <c r="B386" s="3">
        <v>27</v>
      </c>
      <c r="C386" s="3">
        <v>339</v>
      </c>
      <c r="D386" s="3" t="s">
        <v>2905</v>
      </c>
      <c r="E386" s="3"/>
      <c r="F386" s="4" t="s">
        <v>1338</v>
      </c>
      <c r="G386" s="18" t="s">
        <v>1332</v>
      </c>
      <c r="H386" s="4" t="s">
        <v>1339</v>
      </c>
      <c r="I386" s="4"/>
      <c r="J386" s="4" t="s">
        <v>85</v>
      </c>
      <c r="K386" s="6">
        <v>5</v>
      </c>
      <c r="L386" s="6"/>
      <c r="M386" s="6">
        <f t="shared" si="55"/>
        <v>5</v>
      </c>
      <c r="N386" s="8">
        <v>107630</v>
      </c>
      <c r="O386" s="144"/>
    </row>
    <row r="387" spans="1:15" ht="16.5" customHeight="1">
      <c r="A387" s="2">
        <v>42</v>
      </c>
      <c r="B387" s="3">
        <v>28</v>
      </c>
      <c r="C387" s="3">
        <v>340</v>
      </c>
      <c r="D387" s="3" t="s">
        <v>2908</v>
      </c>
      <c r="E387" s="3"/>
      <c r="F387" s="4" t="s">
        <v>1340</v>
      </c>
      <c r="G387" s="18" t="s">
        <v>1341</v>
      </c>
      <c r="H387" s="4" t="s">
        <v>1079</v>
      </c>
      <c r="I387" s="4"/>
      <c r="J387" s="4" t="s">
        <v>85</v>
      </c>
      <c r="K387" s="6">
        <v>50</v>
      </c>
      <c r="L387" s="6"/>
      <c r="M387" s="6">
        <f t="shared" si="55"/>
        <v>50</v>
      </c>
      <c r="N387" s="8">
        <v>50590</v>
      </c>
      <c r="O387" s="144"/>
    </row>
    <row r="388" spans="1:15" ht="16.5" customHeight="1">
      <c r="A388" s="13"/>
      <c r="B388" s="14"/>
      <c r="C388" s="14"/>
      <c r="D388" s="14"/>
      <c r="E388" s="14"/>
      <c r="F388" s="15"/>
      <c r="G388" s="16"/>
      <c r="H388" s="15"/>
      <c r="I388" s="15"/>
      <c r="J388" s="14"/>
      <c r="K388" s="157">
        <f>SUM(K360:K387)</f>
        <v>707</v>
      </c>
      <c r="L388" s="157">
        <f t="shared" ref="L388:M388" si="56">SUM(L360:L387)</f>
        <v>0</v>
      </c>
      <c r="M388" s="157">
        <f t="shared" si="56"/>
        <v>707</v>
      </c>
      <c r="N388" s="17"/>
      <c r="O388" s="145"/>
    </row>
    <row r="389" spans="1:15" s="9" customFormat="1" ht="16.5" customHeight="1">
      <c r="A389" s="2">
        <v>43</v>
      </c>
      <c r="B389" s="3">
        <v>1</v>
      </c>
      <c r="C389" s="3">
        <v>341</v>
      </c>
      <c r="D389" s="3"/>
      <c r="E389" s="3" t="s">
        <v>488</v>
      </c>
      <c r="F389" s="4"/>
      <c r="G389" s="5" t="s">
        <v>2000</v>
      </c>
      <c r="H389" s="4" t="s">
        <v>84</v>
      </c>
      <c r="I389" s="3" t="s">
        <v>2767</v>
      </c>
      <c r="J389" s="3" t="s">
        <v>85</v>
      </c>
      <c r="K389" s="6"/>
      <c r="L389" s="6">
        <v>180</v>
      </c>
      <c r="M389" s="6">
        <f t="shared" ref="M389:M420" si="57">K389+L389</f>
        <v>180</v>
      </c>
      <c r="N389" s="8" t="s">
        <v>1700</v>
      </c>
      <c r="O389" s="149"/>
    </row>
    <row r="390" spans="1:15" s="9" customFormat="1" ht="16.5" customHeight="1">
      <c r="A390" s="2">
        <v>43</v>
      </c>
      <c r="B390" s="3">
        <v>2</v>
      </c>
      <c r="C390" s="3">
        <v>342</v>
      </c>
      <c r="D390" s="3" t="s">
        <v>14</v>
      </c>
      <c r="E390" s="3"/>
      <c r="F390" s="4"/>
      <c r="G390" s="5" t="s">
        <v>1025</v>
      </c>
      <c r="H390" s="4" t="s">
        <v>262</v>
      </c>
      <c r="I390" s="3" t="s">
        <v>2742</v>
      </c>
      <c r="J390" s="3" t="s">
        <v>140</v>
      </c>
      <c r="K390" s="6">
        <v>3</v>
      </c>
      <c r="L390" s="6"/>
      <c r="M390" s="6">
        <f t="shared" si="57"/>
        <v>3</v>
      </c>
      <c r="N390" s="8" t="s">
        <v>2934</v>
      </c>
      <c r="O390" s="149"/>
    </row>
    <row r="391" spans="1:15" s="9" customFormat="1" ht="16.5" customHeight="1">
      <c r="A391" s="2">
        <v>43</v>
      </c>
      <c r="B391" s="3">
        <v>3</v>
      </c>
      <c r="C391" s="3">
        <v>343</v>
      </c>
      <c r="D391" s="3" t="s">
        <v>14</v>
      </c>
      <c r="E391" s="3"/>
      <c r="F391" s="4"/>
      <c r="G391" s="5" t="s">
        <v>1025</v>
      </c>
      <c r="H391" s="4" t="s">
        <v>264</v>
      </c>
      <c r="I391" s="3" t="s">
        <v>2743</v>
      </c>
      <c r="J391" s="3" t="s">
        <v>140</v>
      </c>
      <c r="K391" s="6">
        <v>200</v>
      </c>
      <c r="L391" s="6"/>
      <c r="M391" s="6">
        <f t="shared" si="57"/>
        <v>200</v>
      </c>
      <c r="N391" s="8" t="s">
        <v>2934</v>
      </c>
      <c r="O391" s="149"/>
    </row>
    <row r="392" spans="1:15" s="9" customFormat="1" ht="16.5" customHeight="1">
      <c r="A392" s="2">
        <v>43</v>
      </c>
      <c r="B392" s="3">
        <v>4</v>
      </c>
      <c r="C392" s="3">
        <v>344</v>
      </c>
      <c r="D392" s="3" t="s">
        <v>14</v>
      </c>
      <c r="E392" s="3"/>
      <c r="F392" s="4"/>
      <c r="G392" s="5" t="s">
        <v>1025</v>
      </c>
      <c r="H392" s="4" t="s">
        <v>263</v>
      </c>
      <c r="I392" s="3" t="s">
        <v>2742</v>
      </c>
      <c r="J392" s="3" t="s">
        <v>140</v>
      </c>
      <c r="K392" s="6">
        <v>30</v>
      </c>
      <c r="L392" s="6"/>
      <c r="M392" s="6">
        <f t="shared" si="57"/>
        <v>30</v>
      </c>
      <c r="N392" s="8" t="s">
        <v>2934</v>
      </c>
      <c r="O392" s="149"/>
    </row>
    <row r="393" spans="1:15" s="9" customFormat="1" ht="16.5" customHeight="1">
      <c r="A393" s="2">
        <v>43</v>
      </c>
      <c r="B393" s="3">
        <v>5</v>
      </c>
      <c r="C393" s="3">
        <v>345</v>
      </c>
      <c r="D393" s="3" t="s">
        <v>14</v>
      </c>
      <c r="E393" s="3"/>
      <c r="F393" s="4"/>
      <c r="G393" s="5" t="s">
        <v>1026</v>
      </c>
      <c r="H393" s="4" t="s">
        <v>1027</v>
      </c>
      <c r="I393" s="3" t="s">
        <v>2744</v>
      </c>
      <c r="J393" s="3" t="s">
        <v>472</v>
      </c>
      <c r="K393" s="6">
        <v>200</v>
      </c>
      <c r="L393" s="6"/>
      <c r="M393" s="6">
        <f t="shared" si="57"/>
        <v>200</v>
      </c>
      <c r="N393" s="8" t="s">
        <v>2934</v>
      </c>
      <c r="O393" s="149"/>
    </row>
    <row r="394" spans="1:15" s="9" customFormat="1" ht="16.5" customHeight="1">
      <c r="A394" s="2">
        <v>43</v>
      </c>
      <c r="B394" s="3">
        <v>6</v>
      </c>
      <c r="C394" s="3">
        <v>346</v>
      </c>
      <c r="D394" s="3" t="s">
        <v>14</v>
      </c>
      <c r="E394" s="3"/>
      <c r="F394" s="4"/>
      <c r="G394" s="5" t="s">
        <v>1026</v>
      </c>
      <c r="H394" s="4" t="s">
        <v>1028</v>
      </c>
      <c r="I394" s="3" t="s">
        <v>2744</v>
      </c>
      <c r="J394" s="3" t="s">
        <v>472</v>
      </c>
      <c r="K394" s="6">
        <v>150</v>
      </c>
      <c r="L394" s="6"/>
      <c r="M394" s="6">
        <f t="shared" si="57"/>
        <v>150</v>
      </c>
      <c r="N394" s="8" t="s">
        <v>2934</v>
      </c>
      <c r="O394" s="149"/>
    </row>
    <row r="395" spans="1:15" s="9" customFormat="1" ht="16.5" customHeight="1">
      <c r="A395" s="2">
        <v>43</v>
      </c>
      <c r="B395" s="3">
        <v>7</v>
      </c>
      <c r="C395" s="3">
        <v>347</v>
      </c>
      <c r="D395" s="3" t="s">
        <v>14</v>
      </c>
      <c r="E395" s="3"/>
      <c r="F395" s="4"/>
      <c r="G395" s="5" t="s">
        <v>1029</v>
      </c>
      <c r="H395" s="4" t="s">
        <v>1030</v>
      </c>
      <c r="I395" s="3" t="s">
        <v>2745</v>
      </c>
      <c r="J395" s="3" t="s">
        <v>18</v>
      </c>
      <c r="K395" s="6">
        <v>5000</v>
      </c>
      <c r="L395" s="6"/>
      <c r="M395" s="6">
        <f t="shared" si="57"/>
        <v>5000</v>
      </c>
      <c r="N395" s="8" t="s">
        <v>2934</v>
      </c>
      <c r="O395" s="149"/>
    </row>
    <row r="396" spans="1:15" s="9" customFormat="1" ht="16.5" customHeight="1">
      <c r="A396" s="2">
        <v>43</v>
      </c>
      <c r="B396" s="3">
        <v>8</v>
      </c>
      <c r="C396" s="3">
        <v>348</v>
      </c>
      <c r="D396" s="3" t="s">
        <v>14</v>
      </c>
      <c r="E396" s="3"/>
      <c r="F396" s="4"/>
      <c r="G396" s="5" t="s">
        <v>1029</v>
      </c>
      <c r="H396" s="4" t="s">
        <v>1031</v>
      </c>
      <c r="I396" s="3" t="s">
        <v>2745</v>
      </c>
      <c r="J396" s="3" t="s">
        <v>18</v>
      </c>
      <c r="K396" s="6">
        <v>5000</v>
      </c>
      <c r="L396" s="6"/>
      <c r="M396" s="6">
        <f t="shared" si="57"/>
        <v>5000</v>
      </c>
      <c r="N396" s="8" t="s">
        <v>2934</v>
      </c>
      <c r="O396" s="149"/>
    </row>
    <row r="397" spans="1:15" s="9" customFormat="1" ht="16.5" customHeight="1">
      <c r="A397" s="2">
        <v>43</v>
      </c>
      <c r="B397" s="3">
        <v>9</v>
      </c>
      <c r="C397" s="3">
        <v>349</v>
      </c>
      <c r="D397" s="3" t="s">
        <v>14</v>
      </c>
      <c r="E397" s="3"/>
      <c r="F397" s="4"/>
      <c r="G397" s="5" t="s">
        <v>1032</v>
      </c>
      <c r="H397" s="4" t="s">
        <v>1033</v>
      </c>
      <c r="I397" s="3" t="s">
        <v>2746</v>
      </c>
      <c r="J397" s="3" t="s">
        <v>18</v>
      </c>
      <c r="K397" s="6">
        <v>3000</v>
      </c>
      <c r="L397" s="6"/>
      <c r="M397" s="6">
        <f t="shared" si="57"/>
        <v>3000</v>
      </c>
      <c r="N397" s="8" t="s">
        <v>2934</v>
      </c>
      <c r="O397" s="149"/>
    </row>
    <row r="398" spans="1:15" s="9" customFormat="1" ht="16.5" customHeight="1">
      <c r="A398" s="2">
        <v>43</v>
      </c>
      <c r="B398" s="3">
        <v>10</v>
      </c>
      <c r="C398" s="3">
        <v>350</v>
      </c>
      <c r="D398" s="3" t="s">
        <v>14</v>
      </c>
      <c r="E398" s="3"/>
      <c r="F398" s="4"/>
      <c r="G398" s="5" t="s">
        <v>1034</v>
      </c>
      <c r="H398" s="4" t="s">
        <v>1035</v>
      </c>
      <c r="I398" s="3" t="s">
        <v>2747</v>
      </c>
      <c r="J398" s="3" t="s">
        <v>18</v>
      </c>
      <c r="K398" s="6">
        <v>100</v>
      </c>
      <c r="L398" s="6"/>
      <c r="M398" s="6">
        <f t="shared" si="57"/>
        <v>100</v>
      </c>
      <c r="N398" s="8" t="s">
        <v>2934</v>
      </c>
      <c r="O398" s="149"/>
    </row>
    <row r="399" spans="1:15" s="9" customFormat="1" ht="16.5" customHeight="1">
      <c r="A399" s="2">
        <v>43</v>
      </c>
      <c r="B399" s="3">
        <v>11</v>
      </c>
      <c r="C399" s="3">
        <v>351</v>
      </c>
      <c r="D399" s="3" t="s">
        <v>14</v>
      </c>
      <c r="E399" s="3"/>
      <c r="F399" s="4" t="s">
        <v>1036</v>
      </c>
      <c r="G399" s="5" t="s">
        <v>1037</v>
      </c>
      <c r="H399" s="4" t="s">
        <v>1038</v>
      </c>
      <c r="I399" s="3" t="s">
        <v>2748</v>
      </c>
      <c r="J399" s="3" t="s">
        <v>1039</v>
      </c>
      <c r="K399" s="6">
        <v>150</v>
      </c>
      <c r="L399" s="6"/>
      <c r="M399" s="6">
        <f t="shared" si="57"/>
        <v>150</v>
      </c>
      <c r="N399" s="8">
        <v>3000</v>
      </c>
      <c r="O399" s="149" t="s">
        <v>2955</v>
      </c>
    </row>
    <row r="400" spans="1:15" s="9" customFormat="1" ht="16.5" customHeight="1">
      <c r="A400" s="2">
        <v>43</v>
      </c>
      <c r="B400" s="3">
        <v>12</v>
      </c>
      <c r="C400" s="3">
        <v>352</v>
      </c>
      <c r="D400" s="3" t="s">
        <v>14</v>
      </c>
      <c r="E400" s="3"/>
      <c r="F400" s="4" t="s">
        <v>1036</v>
      </c>
      <c r="G400" s="5" t="s">
        <v>1040</v>
      </c>
      <c r="H400" s="4" t="s">
        <v>1038</v>
      </c>
      <c r="I400" s="3" t="s">
        <v>2748</v>
      </c>
      <c r="J400" s="3" t="s">
        <v>1041</v>
      </c>
      <c r="K400" s="6">
        <v>30</v>
      </c>
      <c r="L400" s="6"/>
      <c r="M400" s="6">
        <f t="shared" si="57"/>
        <v>30</v>
      </c>
      <c r="N400" s="8">
        <v>3000</v>
      </c>
      <c r="O400" s="149" t="s">
        <v>2955</v>
      </c>
    </row>
    <row r="401" spans="1:15" s="9" customFormat="1" ht="16.5" customHeight="1">
      <c r="A401" s="2">
        <v>43</v>
      </c>
      <c r="B401" s="3">
        <v>13</v>
      </c>
      <c r="C401" s="3">
        <v>353</v>
      </c>
      <c r="D401" s="3"/>
      <c r="E401" s="3" t="s">
        <v>488</v>
      </c>
      <c r="F401" s="4"/>
      <c r="G401" s="5" t="s">
        <v>1996</v>
      </c>
      <c r="H401" s="4" t="s">
        <v>1999</v>
      </c>
      <c r="I401" s="3" t="s">
        <v>2756</v>
      </c>
      <c r="J401" s="3" t="s">
        <v>1992</v>
      </c>
      <c r="K401" s="6"/>
      <c r="L401" s="6">
        <v>500</v>
      </c>
      <c r="M401" s="6">
        <f t="shared" si="57"/>
        <v>500</v>
      </c>
      <c r="N401" s="8" t="s">
        <v>1998</v>
      </c>
      <c r="O401" s="149"/>
    </row>
    <row r="402" spans="1:15" s="9" customFormat="1" ht="16.5" customHeight="1">
      <c r="A402" s="2">
        <v>43</v>
      </c>
      <c r="B402" s="3">
        <v>14</v>
      </c>
      <c r="C402" s="3">
        <v>354</v>
      </c>
      <c r="D402" s="3"/>
      <c r="E402" s="3" t="s">
        <v>488</v>
      </c>
      <c r="F402" s="4"/>
      <c r="G402" s="5" t="s">
        <v>1996</v>
      </c>
      <c r="H402" s="4" t="s">
        <v>1997</v>
      </c>
      <c r="I402" s="3" t="s">
        <v>2748</v>
      </c>
      <c r="J402" s="3" t="s">
        <v>1992</v>
      </c>
      <c r="K402" s="6"/>
      <c r="L402" s="6">
        <v>300</v>
      </c>
      <c r="M402" s="6">
        <f t="shared" si="57"/>
        <v>300</v>
      </c>
      <c r="N402" s="8" t="s">
        <v>1987</v>
      </c>
      <c r="O402" s="149"/>
    </row>
    <row r="403" spans="1:15" s="9" customFormat="1" ht="16.5" customHeight="1">
      <c r="A403" s="2">
        <v>43</v>
      </c>
      <c r="B403" s="3">
        <v>15</v>
      </c>
      <c r="C403" s="3">
        <v>355</v>
      </c>
      <c r="D403" s="3"/>
      <c r="E403" s="3" t="s">
        <v>488</v>
      </c>
      <c r="F403" s="4"/>
      <c r="G403" s="5" t="s">
        <v>1996</v>
      </c>
      <c r="H403" s="4" t="s">
        <v>1995</v>
      </c>
      <c r="I403" s="3" t="s">
        <v>2768</v>
      </c>
      <c r="J403" s="3" t="s">
        <v>1992</v>
      </c>
      <c r="K403" s="6"/>
      <c r="L403" s="6">
        <v>400</v>
      </c>
      <c r="M403" s="6">
        <f t="shared" si="57"/>
        <v>400</v>
      </c>
      <c r="N403" s="8" t="s">
        <v>1987</v>
      </c>
      <c r="O403" s="149"/>
    </row>
    <row r="404" spans="1:15" s="9" customFormat="1" ht="16.5" customHeight="1">
      <c r="A404" s="2">
        <v>43</v>
      </c>
      <c r="B404" s="3">
        <v>16</v>
      </c>
      <c r="C404" s="3">
        <v>356</v>
      </c>
      <c r="D404" s="3" t="s">
        <v>14</v>
      </c>
      <c r="E404" s="3"/>
      <c r="F404" s="4" t="s">
        <v>1042</v>
      </c>
      <c r="G404" s="5" t="s">
        <v>1043</v>
      </c>
      <c r="H404" s="4" t="s">
        <v>1044</v>
      </c>
      <c r="I404" s="3" t="s">
        <v>2749</v>
      </c>
      <c r="J404" s="3" t="s">
        <v>807</v>
      </c>
      <c r="K404" s="6">
        <v>2</v>
      </c>
      <c r="L404" s="6"/>
      <c r="M404" s="6">
        <f t="shared" si="57"/>
        <v>2</v>
      </c>
      <c r="N404" s="8">
        <v>3828</v>
      </c>
      <c r="O404" s="149" t="s">
        <v>2954</v>
      </c>
    </row>
    <row r="405" spans="1:15" s="9" customFormat="1" ht="16.5" customHeight="1">
      <c r="A405" s="2">
        <v>43</v>
      </c>
      <c r="B405" s="3">
        <v>17</v>
      </c>
      <c r="C405" s="3">
        <v>357</v>
      </c>
      <c r="D405" s="3" t="s">
        <v>14</v>
      </c>
      <c r="E405" s="3"/>
      <c r="F405" s="4" t="s">
        <v>1045</v>
      </c>
      <c r="G405" s="5" t="s">
        <v>1043</v>
      </c>
      <c r="H405" s="4" t="s">
        <v>1046</v>
      </c>
      <c r="I405" s="3" t="s">
        <v>2749</v>
      </c>
      <c r="J405" s="3" t="s">
        <v>807</v>
      </c>
      <c r="K405" s="6">
        <v>5</v>
      </c>
      <c r="L405" s="6"/>
      <c r="M405" s="6">
        <f t="shared" si="57"/>
        <v>5</v>
      </c>
      <c r="N405" s="8">
        <v>5004</v>
      </c>
      <c r="O405" s="149" t="s">
        <v>2954</v>
      </c>
    </row>
    <row r="406" spans="1:15" s="9" customFormat="1" ht="16.5" customHeight="1">
      <c r="A406" s="2">
        <v>43</v>
      </c>
      <c r="B406" s="3">
        <v>18</v>
      </c>
      <c r="C406" s="3">
        <v>358</v>
      </c>
      <c r="D406" s="3" t="s">
        <v>14</v>
      </c>
      <c r="E406" s="3"/>
      <c r="F406" s="4" t="s">
        <v>1047</v>
      </c>
      <c r="G406" s="5" t="s">
        <v>1043</v>
      </c>
      <c r="H406" s="4" t="s">
        <v>1048</v>
      </c>
      <c r="I406" s="3" t="s">
        <v>2749</v>
      </c>
      <c r="J406" s="3" t="s">
        <v>807</v>
      </c>
      <c r="K406" s="6">
        <v>20</v>
      </c>
      <c r="L406" s="6"/>
      <c r="M406" s="6">
        <f t="shared" si="57"/>
        <v>20</v>
      </c>
      <c r="N406" s="8">
        <v>6216</v>
      </c>
      <c r="O406" s="149" t="s">
        <v>2954</v>
      </c>
    </row>
    <row r="407" spans="1:15" s="9" customFormat="1" ht="16.5" customHeight="1">
      <c r="A407" s="2">
        <v>43</v>
      </c>
      <c r="B407" s="3">
        <v>19</v>
      </c>
      <c r="C407" s="3">
        <v>359</v>
      </c>
      <c r="D407" s="3" t="s">
        <v>14</v>
      </c>
      <c r="E407" s="3"/>
      <c r="F407" s="4" t="s">
        <v>1049</v>
      </c>
      <c r="G407" s="5" t="s">
        <v>1043</v>
      </c>
      <c r="H407" s="4" t="s">
        <v>1050</v>
      </c>
      <c r="I407" s="3" t="s">
        <v>2750</v>
      </c>
      <c r="J407" s="3" t="s">
        <v>807</v>
      </c>
      <c r="K407" s="6">
        <v>10</v>
      </c>
      <c r="L407" s="6"/>
      <c r="M407" s="6">
        <f t="shared" si="57"/>
        <v>10</v>
      </c>
      <c r="N407" s="8">
        <v>8100</v>
      </c>
      <c r="O407" s="149" t="s">
        <v>2954</v>
      </c>
    </row>
    <row r="408" spans="1:15" s="9" customFormat="1" ht="16.5" customHeight="1">
      <c r="A408" s="2">
        <v>43</v>
      </c>
      <c r="B408" s="3">
        <v>20</v>
      </c>
      <c r="C408" s="3">
        <v>360</v>
      </c>
      <c r="D408" s="3"/>
      <c r="E408" s="3" t="s">
        <v>488</v>
      </c>
      <c r="F408" s="4" t="s">
        <v>2024</v>
      </c>
      <c r="G408" s="5" t="s">
        <v>2017</v>
      </c>
      <c r="H408" s="4" t="s">
        <v>2023</v>
      </c>
      <c r="I408" s="3" t="s">
        <v>2758</v>
      </c>
      <c r="J408" s="3" t="s">
        <v>206</v>
      </c>
      <c r="K408" s="6"/>
      <c r="L408" s="6">
        <v>30</v>
      </c>
      <c r="M408" s="6">
        <f t="shared" si="57"/>
        <v>30</v>
      </c>
      <c r="N408" s="8">
        <f>319*12</f>
        <v>3828</v>
      </c>
      <c r="O408" s="149" t="s">
        <v>2954</v>
      </c>
    </row>
    <row r="409" spans="1:15" s="9" customFormat="1" ht="16.5" customHeight="1">
      <c r="A409" s="2">
        <v>43</v>
      </c>
      <c r="B409" s="3">
        <v>21</v>
      </c>
      <c r="C409" s="3">
        <v>361</v>
      </c>
      <c r="D409" s="3"/>
      <c r="E409" s="3" t="s">
        <v>488</v>
      </c>
      <c r="F409" s="4" t="s">
        <v>2022</v>
      </c>
      <c r="G409" s="5" t="s">
        <v>2017</v>
      </c>
      <c r="H409" s="4" t="s">
        <v>2021</v>
      </c>
      <c r="I409" s="3" t="s">
        <v>2759</v>
      </c>
      <c r="J409" s="3" t="s">
        <v>206</v>
      </c>
      <c r="K409" s="6"/>
      <c r="L409" s="6">
        <v>120</v>
      </c>
      <c r="M409" s="6">
        <f t="shared" si="57"/>
        <v>120</v>
      </c>
      <c r="N409" s="8">
        <f>417*12</f>
        <v>5004</v>
      </c>
      <c r="O409" s="149" t="s">
        <v>2953</v>
      </c>
    </row>
    <row r="410" spans="1:15" s="9" customFormat="1" ht="16.5" customHeight="1">
      <c r="A410" s="2">
        <v>43</v>
      </c>
      <c r="B410" s="3">
        <v>22</v>
      </c>
      <c r="C410" s="3">
        <v>362</v>
      </c>
      <c r="D410" s="3"/>
      <c r="E410" s="3" t="s">
        <v>488</v>
      </c>
      <c r="F410" s="4" t="s">
        <v>2020</v>
      </c>
      <c r="G410" s="5" t="s">
        <v>2017</v>
      </c>
      <c r="H410" s="4" t="s">
        <v>2019</v>
      </c>
      <c r="I410" s="3" t="s">
        <v>2758</v>
      </c>
      <c r="J410" s="3" t="s">
        <v>206</v>
      </c>
      <c r="K410" s="6"/>
      <c r="L410" s="6">
        <v>150</v>
      </c>
      <c r="M410" s="6">
        <f t="shared" si="57"/>
        <v>150</v>
      </c>
      <c r="N410" s="8">
        <f>518*12</f>
        <v>6216</v>
      </c>
      <c r="O410" s="149" t="s">
        <v>2953</v>
      </c>
    </row>
    <row r="411" spans="1:15" s="9" customFormat="1" ht="16.5" customHeight="1">
      <c r="A411" s="2">
        <v>43</v>
      </c>
      <c r="B411" s="3">
        <v>23</v>
      </c>
      <c r="C411" s="3">
        <v>363</v>
      </c>
      <c r="D411" s="3"/>
      <c r="E411" s="3" t="s">
        <v>488</v>
      </c>
      <c r="F411" s="4" t="s">
        <v>2018</v>
      </c>
      <c r="G411" s="5" t="s">
        <v>2017</v>
      </c>
      <c r="H411" s="4" t="s">
        <v>2016</v>
      </c>
      <c r="I411" s="3" t="s">
        <v>2758</v>
      </c>
      <c r="J411" s="3" t="s">
        <v>206</v>
      </c>
      <c r="K411" s="6"/>
      <c r="L411" s="6">
        <v>230</v>
      </c>
      <c r="M411" s="6">
        <f t="shared" si="57"/>
        <v>230</v>
      </c>
      <c r="N411" s="8">
        <f>675*12</f>
        <v>8100</v>
      </c>
      <c r="O411" s="149" t="s">
        <v>2953</v>
      </c>
    </row>
    <row r="412" spans="1:15" s="9" customFormat="1" ht="16.5" customHeight="1">
      <c r="A412" s="2">
        <v>43</v>
      </c>
      <c r="B412" s="3">
        <v>24</v>
      </c>
      <c r="C412" s="3">
        <v>364</v>
      </c>
      <c r="D412" s="3" t="s">
        <v>14</v>
      </c>
      <c r="E412" s="3"/>
      <c r="F412" s="4"/>
      <c r="G412" s="5" t="s">
        <v>1051</v>
      </c>
      <c r="H412" s="4" t="s">
        <v>1052</v>
      </c>
      <c r="I412" s="3" t="s">
        <v>2751</v>
      </c>
      <c r="J412" s="3" t="s">
        <v>140</v>
      </c>
      <c r="K412" s="6">
        <v>250</v>
      </c>
      <c r="L412" s="6"/>
      <c r="M412" s="6">
        <f t="shared" si="57"/>
        <v>250</v>
      </c>
      <c r="N412" s="8" t="s">
        <v>2934</v>
      </c>
      <c r="O412" s="149"/>
    </row>
    <row r="413" spans="1:15" s="9" customFormat="1" ht="16.5" customHeight="1">
      <c r="A413" s="2">
        <v>43</v>
      </c>
      <c r="B413" s="3">
        <v>25</v>
      </c>
      <c r="C413" s="3">
        <v>365</v>
      </c>
      <c r="D413" s="3" t="s">
        <v>14</v>
      </c>
      <c r="E413" s="3" t="s">
        <v>2075</v>
      </c>
      <c r="F413" s="4"/>
      <c r="G413" s="5" t="s">
        <v>2990</v>
      </c>
      <c r="H413" s="4" t="s">
        <v>1053</v>
      </c>
      <c r="I413" s="3" t="s">
        <v>2988</v>
      </c>
      <c r="J413" s="3" t="s">
        <v>140</v>
      </c>
      <c r="K413" s="6">
        <v>500</v>
      </c>
      <c r="L413" s="6">
        <v>220</v>
      </c>
      <c r="M413" s="6">
        <f t="shared" si="57"/>
        <v>720</v>
      </c>
      <c r="N413" s="8" t="s">
        <v>2934</v>
      </c>
      <c r="O413" s="149"/>
    </row>
    <row r="414" spans="1:15" s="9" customFormat="1" ht="16.5" customHeight="1">
      <c r="A414" s="2">
        <v>43</v>
      </c>
      <c r="B414" s="3">
        <v>26</v>
      </c>
      <c r="C414" s="3">
        <v>366</v>
      </c>
      <c r="D414" s="3" t="s">
        <v>14</v>
      </c>
      <c r="E414" s="3"/>
      <c r="F414" s="4"/>
      <c r="G414" s="5" t="s">
        <v>1054</v>
      </c>
      <c r="H414" s="4" t="s">
        <v>1055</v>
      </c>
      <c r="I414" s="3" t="s">
        <v>2752</v>
      </c>
      <c r="J414" s="3" t="s">
        <v>140</v>
      </c>
      <c r="K414" s="6">
        <v>300</v>
      </c>
      <c r="L414" s="6"/>
      <c r="M414" s="6">
        <f t="shared" si="57"/>
        <v>300</v>
      </c>
      <c r="N414" s="8" t="s">
        <v>2934</v>
      </c>
      <c r="O414" s="149"/>
    </row>
    <row r="415" spans="1:15" s="9" customFormat="1" ht="16.5" customHeight="1">
      <c r="A415" s="2">
        <v>43</v>
      </c>
      <c r="B415" s="3">
        <v>27</v>
      </c>
      <c r="C415" s="3">
        <v>367</v>
      </c>
      <c r="D415" s="3" t="s">
        <v>14</v>
      </c>
      <c r="E415" s="3" t="s">
        <v>2991</v>
      </c>
      <c r="F415" s="4"/>
      <c r="G415" s="5" t="s">
        <v>2989</v>
      </c>
      <c r="H415" s="4" t="s">
        <v>1056</v>
      </c>
      <c r="I415" s="3" t="s">
        <v>2753</v>
      </c>
      <c r="J415" s="3" t="s">
        <v>140</v>
      </c>
      <c r="K415" s="6">
        <v>15</v>
      </c>
      <c r="L415" s="6">
        <v>50</v>
      </c>
      <c r="M415" s="6">
        <f t="shared" si="57"/>
        <v>65</v>
      </c>
      <c r="N415" s="8" t="s">
        <v>2934</v>
      </c>
      <c r="O415" s="149"/>
    </row>
    <row r="416" spans="1:15" s="9" customFormat="1" ht="16.5" customHeight="1">
      <c r="A416" s="2">
        <v>43</v>
      </c>
      <c r="B416" s="3">
        <v>28</v>
      </c>
      <c r="C416" s="3">
        <v>368</v>
      </c>
      <c r="D416" s="3" t="s">
        <v>14</v>
      </c>
      <c r="E416" s="3"/>
      <c r="F416" s="4"/>
      <c r="G416" s="5" t="s">
        <v>1057</v>
      </c>
      <c r="H416" s="4" t="s">
        <v>1058</v>
      </c>
      <c r="I416" s="3" t="s">
        <v>2754</v>
      </c>
      <c r="J416" s="3" t="s">
        <v>18</v>
      </c>
      <c r="K416" s="6">
        <v>300</v>
      </c>
      <c r="L416" s="6"/>
      <c r="M416" s="6">
        <f t="shared" si="57"/>
        <v>300</v>
      </c>
      <c r="N416" s="8" t="s">
        <v>2934</v>
      </c>
      <c r="O416" s="149"/>
    </row>
    <row r="417" spans="1:15" s="9" customFormat="1" ht="16.5" customHeight="1">
      <c r="A417" s="2">
        <v>43</v>
      </c>
      <c r="B417" s="3">
        <v>29</v>
      </c>
      <c r="C417" s="3">
        <v>369</v>
      </c>
      <c r="D417" s="3" t="s">
        <v>14</v>
      </c>
      <c r="E417" s="3"/>
      <c r="F417" s="4"/>
      <c r="G417" s="5" t="s">
        <v>1059</v>
      </c>
      <c r="H417" s="4" t="s">
        <v>1060</v>
      </c>
      <c r="I417" s="3" t="s">
        <v>2755</v>
      </c>
      <c r="J417" s="3" t="s">
        <v>18</v>
      </c>
      <c r="K417" s="6">
        <v>10</v>
      </c>
      <c r="L417" s="6"/>
      <c r="M417" s="6">
        <f t="shared" si="57"/>
        <v>10</v>
      </c>
      <c r="N417" s="8" t="s">
        <v>2934</v>
      </c>
      <c r="O417" s="149"/>
    </row>
    <row r="418" spans="1:15" s="9" customFormat="1" ht="16.5" customHeight="1">
      <c r="A418" s="2">
        <v>43</v>
      </c>
      <c r="B418" s="3">
        <v>30</v>
      </c>
      <c r="C418" s="3">
        <v>370</v>
      </c>
      <c r="D418" s="3" t="s">
        <v>14</v>
      </c>
      <c r="E418" s="3"/>
      <c r="F418" s="4" t="s">
        <v>1061</v>
      </c>
      <c r="G418" s="5" t="s">
        <v>1062</v>
      </c>
      <c r="H418" s="4" t="s">
        <v>1063</v>
      </c>
      <c r="I418" s="3" t="s">
        <v>2756</v>
      </c>
      <c r="J418" s="3" t="s">
        <v>1064</v>
      </c>
      <c r="K418" s="6">
        <v>200</v>
      </c>
      <c r="L418" s="6"/>
      <c r="M418" s="6">
        <f t="shared" si="57"/>
        <v>200</v>
      </c>
      <c r="N418" s="8">
        <v>5600</v>
      </c>
      <c r="O418" s="149" t="s">
        <v>2948</v>
      </c>
    </row>
    <row r="419" spans="1:15" s="9" customFormat="1" ht="16.5" customHeight="1">
      <c r="A419" s="2">
        <v>43</v>
      </c>
      <c r="B419" s="3">
        <v>31</v>
      </c>
      <c r="C419" s="3">
        <v>371</v>
      </c>
      <c r="D419" s="3"/>
      <c r="E419" s="3" t="s">
        <v>488</v>
      </c>
      <c r="F419" s="4" t="s">
        <v>2030</v>
      </c>
      <c r="G419" s="5" t="s">
        <v>2032</v>
      </c>
      <c r="H419" s="4" t="s">
        <v>2031</v>
      </c>
      <c r="I419" s="3" t="s">
        <v>2757</v>
      </c>
      <c r="J419" s="3" t="s">
        <v>2027</v>
      </c>
      <c r="K419" s="6"/>
      <c r="L419" s="6">
        <v>50</v>
      </c>
      <c r="M419" s="6">
        <f t="shared" si="57"/>
        <v>50</v>
      </c>
      <c r="N419" s="8">
        <f>62*150</f>
        <v>9300</v>
      </c>
      <c r="O419" s="149" t="s">
        <v>2951</v>
      </c>
    </row>
    <row r="420" spans="1:15" s="9" customFormat="1" ht="16.5" customHeight="1">
      <c r="A420" s="2">
        <v>43</v>
      </c>
      <c r="B420" s="3">
        <v>32</v>
      </c>
      <c r="C420" s="3">
        <v>372</v>
      </c>
      <c r="D420" s="3"/>
      <c r="E420" s="3" t="s">
        <v>488</v>
      </c>
      <c r="F420" s="4" t="s">
        <v>2030</v>
      </c>
      <c r="G420" s="5" t="s">
        <v>2029</v>
      </c>
      <c r="H420" s="4" t="s">
        <v>2028</v>
      </c>
      <c r="I420" s="3" t="s">
        <v>2757</v>
      </c>
      <c r="J420" s="3" t="s">
        <v>2027</v>
      </c>
      <c r="K420" s="6"/>
      <c r="L420" s="6">
        <v>20</v>
      </c>
      <c r="M420" s="6">
        <f t="shared" si="57"/>
        <v>20</v>
      </c>
      <c r="N420" s="8">
        <f>62*300</f>
        <v>18600</v>
      </c>
      <c r="O420" s="149" t="s">
        <v>2952</v>
      </c>
    </row>
    <row r="421" spans="1:15" s="9" customFormat="1" ht="16.5" customHeight="1">
      <c r="A421" s="2">
        <v>43</v>
      </c>
      <c r="B421" s="3">
        <v>33</v>
      </c>
      <c r="C421" s="3">
        <v>373</v>
      </c>
      <c r="D421" s="3"/>
      <c r="E421" s="3" t="s">
        <v>488</v>
      </c>
      <c r="F421" s="4"/>
      <c r="G421" s="5" t="s">
        <v>2026</v>
      </c>
      <c r="H421" s="4" t="s">
        <v>2025</v>
      </c>
      <c r="I421" s="3" t="s">
        <v>2608</v>
      </c>
      <c r="J421" s="3" t="s">
        <v>85</v>
      </c>
      <c r="K421" s="6"/>
      <c r="L421" s="6">
        <v>5</v>
      </c>
      <c r="M421" s="6">
        <f t="shared" ref="M421:M452" si="58">K421+L421</f>
        <v>5</v>
      </c>
      <c r="N421" s="8" t="s">
        <v>1700</v>
      </c>
      <c r="O421" s="149"/>
    </row>
    <row r="422" spans="1:15" s="9" customFormat="1" ht="16.5" customHeight="1">
      <c r="A422" s="2">
        <v>43</v>
      </c>
      <c r="B422" s="3">
        <v>34</v>
      </c>
      <c r="C422" s="3">
        <v>374</v>
      </c>
      <c r="D422" s="3"/>
      <c r="E422" s="3" t="s">
        <v>488</v>
      </c>
      <c r="F422" s="4" t="s">
        <v>2015</v>
      </c>
      <c r="G422" s="5" t="s">
        <v>2012</v>
      </c>
      <c r="H422" s="4" t="s">
        <v>2014</v>
      </c>
      <c r="I422" s="3" t="s">
        <v>2760</v>
      </c>
      <c r="J422" s="3" t="s">
        <v>206</v>
      </c>
      <c r="K422" s="6"/>
      <c r="L422" s="6">
        <v>240</v>
      </c>
      <c r="M422" s="6">
        <f t="shared" si="58"/>
        <v>240</v>
      </c>
      <c r="N422" s="8">
        <f>9*200</f>
        <v>1800</v>
      </c>
      <c r="O422" s="149" t="s">
        <v>2949</v>
      </c>
    </row>
    <row r="423" spans="1:15" s="9" customFormat="1" ht="16.5" customHeight="1">
      <c r="A423" s="2">
        <v>43</v>
      </c>
      <c r="B423" s="3">
        <v>35</v>
      </c>
      <c r="C423" s="3">
        <v>375</v>
      </c>
      <c r="D423" s="3"/>
      <c r="E423" s="3" t="s">
        <v>488</v>
      </c>
      <c r="F423" s="4" t="s">
        <v>2013</v>
      </c>
      <c r="G423" s="5" t="s">
        <v>2012</v>
      </c>
      <c r="H423" s="4" t="s">
        <v>2011</v>
      </c>
      <c r="I423" s="3" t="s">
        <v>2761</v>
      </c>
      <c r="J423" s="3" t="s">
        <v>206</v>
      </c>
      <c r="K423" s="6"/>
      <c r="L423" s="6">
        <v>480</v>
      </c>
      <c r="M423" s="6">
        <f t="shared" si="58"/>
        <v>480</v>
      </c>
      <c r="N423" s="8">
        <f>42*200</f>
        <v>8400</v>
      </c>
      <c r="O423" s="149" t="s">
        <v>2949</v>
      </c>
    </row>
    <row r="424" spans="1:15" s="9" customFormat="1" ht="16.5" customHeight="1">
      <c r="A424" s="2">
        <v>43</v>
      </c>
      <c r="B424" s="3">
        <v>36</v>
      </c>
      <c r="C424" s="3">
        <v>376</v>
      </c>
      <c r="D424" s="3"/>
      <c r="E424" s="3" t="s">
        <v>488</v>
      </c>
      <c r="F424" s="4" t="s">
        <v>2010</v>
      </c>
      <c r="G424" s="5" t="s">
        <v>2009</v>
      </c>
      <c r="H424" s="4" t="s">
        <v>2008</v>
      </c>
      <c r="I424" s="3" t="s">
        <v>2762</v>
      </c>
      <c r="J424" s="3" t="s">
        <v>206</v>
      </c>
      <c r="K424" s="6"/>
      <c r="L424" s="6">
        <v>270</v>
      </c>
      <c r="M424" s="6">
        <f t="shared" si="58"/>
        <v>270</v>
      </c>
      <c r="N424" s="8">
        <v>11900</v>
      </c>
      <c r="O424" s="149" t="s">
        <v>2950</v>
      </c>
    </row>
    <row r="425" spans="1:15" s="9" customFormat="1" ht="16.5" customHeight="1">
      <c r="A425" s="2">
        <v>43</v>
      </c>
      <c r="B425" s="3">
        <v>37</v>
      </c>
      <c r="C425" s="3">
        <v>377</v>
      </c>
      <c r="D425" s="3"/>
      <c r="E425" s="3" t="s">
        <v>488</v>
      </c>
      <c r="F425" s="4"/>
      <c r="G425" s="5" t="s">
        <v>2007</v>
      </c>
      <c r="H425" s="4" t="s">
        <v>215</v>
      </c>
      <c r="I425" s="3" t="s">
        <v>2763</v>
      </c>
      <c r="J425" s="3" t="s">
        <v>85</v>
      </c>
      <c r="K425" s="6"/>
      <c r="L425" s="6">
        <v>2124</v>
      </c>
      <c r="M425" s="6">
        <f t="shared" si="58"/>
        <v>2124</v>
      </c>
      <c r="N425" s="8" t="s">
        <v>1700</v>
      </c>
      <c r="O425" s="149"/>
    </row>
    <row r="426" spans="1:15" s="9" customFormat="1" ht="16.5" customHeight="1">
      <c r="A426" s="2">
        <v>43</v>
      </c>
      <c r="B426" s="3">
        <v>38</v>
      </c>
      <c r="C426" s="3">
        <v>378</v>
      </c>
      <c r="D426" s="3"/>
      <c r="E426" s="3" t="s">
        <v>488</v>
      </c>
      <c r="F426" s="4"/>
      <c r="G426" s="5" t="s">
        <v>2006</v>
      </c>
      <c r="H426" s="4" t="s">
        <v>2005</v>
      </c>
      <c r="I426" s="3" t="s">
        <v>2764</v>
      </c>
      <c r="J426" s="3" t="s">
        <v>85</v>
      </c>
      <c r="K426" s="6"/>
      <c r="L426" s="6">
        <v>720</v>
      </c>
      <c r="M426" s="6">
        <f t="shared" si="58"/>
        <v>720</v>
      </c>
      <c r="N426" s="8" t="s">
        <v>1700</v>
      </c>
      <c r="O426" s="149"/>
    </row>
    <row r="427" spans="1:15" s="9" customFormat="1" ht="16.5" customHeight="1">
      <c r="A427" s="2">
        <v>43</v>
      </c>
      <c r="B427" s="3">
        <v>39</v>
      </c>
      <c r="C427" s="3">
        <v>379</v>
      </c>
      <c r="D427" s="3"/>
      <c r="E427" s="3" t="s">
        <v>488</v>
      </c>
      <c r="F427" s="4"/>
      <c r="G427" s="5" t="s">
        <v>2004</v>
      </c>
      <c r="H427" s="4" t="s">
        <v>2003</v>
      </c>
      <c r="I427" s="3" t="s">
        <v>2765</v>
      </c>
      <c r="J427" s="3" t="s">
        <v>85</v>
      </c>
      <c r="K427" s="6"/>
      <c r="L427" s="6">
        <v>5</v>
      </c>
      <c r="M427" s="6">
        <f t="shared" si="58"/>
        <v>5</v>
      </c>
      <c r="N427" s="8" t="s">
        <v>1700</v>
      </c>
      <c r="O427" s="149"/>
    </row>
    <row r="428" spans="1:15" s="9" customFormat="1" ht="16.5" customHeight="1">
      <c r="A428" s="2">
        <v>43</v>
      </c>
      <c r="B428" s="3">
        <v>40</v>
      </c>
      <c r="C428" s="3">
        <v>380</v>
      </c>
      <c r="D428" s="3"/>
      <c r="E428" s="3" t="s">
        <v>488</v>
      </c>
      <c r="F428" s="4"/>
      <c r="G428" s="5" t="s">
        <v>2002</v>
      </c>
      <c r="H428" s="4" t="s">
        <v>2001</v>
      </c>
      <c r="I428" s="3" t="s">
        <v>2766</v>
      </c>
      <c r="J428" s="3" t="s">
        <v>85</v>
      </c>
      <c r="K428" s="6"/>
      <c r="L428" s="6">
        <v>5</v>
      </c>
      <c r="M428" s="6">
        <f t="shared" si="58"/>
        <v>5</v>
      </c>
      <c r="N428" s="8" t="s">
        <v>1700</v>
      </c>
      <c r="O428" s="149"/>
    </row>
    <row r="429" spans="1:15" s="9" customFormat="1" ht="16.5" customHeight="1">
      <c r="A429" s="2">
        <v>43</v>
      </c>
      <c r="B429" s="3">
        <v>41</v>
      </c>
      <c r="C429" s="3">
        <v>381</v>
      </c>
      <c r="D429" s="3"/>
      <c r="E429" s="3" t="s">
        <v>488</v>
      </c>
      <c r="F429" s="4"/>
      <c r="G429" s="5" t="s">
        <v>1994</v>
      </c>
      <c r="H429" s="4" t="s">
        <v>1993</v>
      </c>
      <c r="I429" s="3" t="s">
        <v>2748</v>
      </c>
      <c r="J429" s="3" t="s">
        <v>1992</v>
      </c>
      <c r="K429" s="6"/>
      <c r="L429" s="6">
        <v>100</v>
      </c>
      <c r="M429" s="6">
        <f t="shared" si="58"/>
        <v>100</v>
      </c>
      <c r="N429" s="8" t="s">
        <v>1991</v>
      </c>
      <c r="O429" s="149"/>
    </row>
    <row r="430" spans="1:15" s="9" customFormat="1" ht="16.5" customHeight="1">
      <c r="A430" s="2">
        <v>43</v>
      </c>
      <c r="B430" s="3">
        <v>42</v>
      </c>
      <c r="C430" s="3">
        <v>382</v>
      </c>
      <c r="D430" s="3"/>
      <c r="E430" s="3" t="s">
        <v>488</v>
      </c>
      <c r="F430" s="4"/>
      <c r="G430" s="5" t="s">
        <v>1990</v>
      </c>
      <c r="H430" s="4" t="s">
        <v>1989</v>
      </c>
      <c r="I430" s="3"/>
      <c r="J430" s="3" t="s">
        <v>1988</v>
      </c>
      <c r="K430" s="6"/>
      <c r="L430" s="6">
        <v>3</v>
      </c>
      <c r="M430" s="6">
        <f t="shared" si="58"/>
        <v>3</v>
      </c>
      <c r="N430" s="8" t="s">
        <v>1987</v>
      </c>
      <c r="O430" s="149"/>
    </row>
    <row r="431" spans="1:15" s="9" customFormat="1" ht="16.5" customHeight="1">
      <c r="A431" s="2">
        <v>43</v>
      </c>
      <c r="B431" s="3">
        <v>43</v>
      </c>
      <c r="C431" s="3">
        <v>383</v>
      </c>
      <c r="D431" s="3" t="s">
        <v>1065</v>
      </c>
      <c r="E431" s="3"/>
      <c r="F431" s="4"/>
      <c r="G431" s="5" t="s">
        <v>1066</v>
      </c>
      <c r="H431" s="4" t="s">
        <v>1067</v>
      </c>
      <c r="I431" s="3" t="s">
        <v>2769</v>
      </c>
      <c r="J431" s="3" t="s">
        <v>1069</v>
      </c>
      <c r="K431" s="6">
        <v>200</v>
      </c>
      <c r="L431" s="6">
        <v>10</v>
      </c>
      <c r="M431" s="6">
        <f t="shared" si="58"/>
        <v>210</v>
      </c>
      <c r="N431" s="8" t="s">
        <v>2934</v>
      </c>
      <c r="O431" s="149"/>
    </row>
    <row r="432" spans="1:15" s="9" customFormat="1" ht="16.5" customHeight="1">
      <c r="A432" s="2">
        <v>43</v>
      </c>
      <c r="B432" s="3">
        <v>44</v>
      </c>
      <c r="C432" s="3">
        <v>384</v>
      </c>
      <c r="D432" s="3"/>
      <c r="E432" s="3" t="s">
        <v>488</v>
      </c>
      <c r="F432" s="4"/>
      <c r="G432" s="5" t="s">
        <v>2034</v>
      </c>
      <c r="H432" s="4" t="s">
        <v>2033</v>
      </c>
      <c r="I432" s="3" t="s">
        <v>2770</v>
      </c>
      <c r="J432" s="3" t="s">
        <v>85</v>
      </c>
      <c r="K432" s="6"/>
      <c r="L432" s="6">
        <v>1080</v>
      </c>
      <c r="M432" s="6">
        <f t="shared" si="58"/>
        <v>1080</v>
      </c>
      <c r="N432" s="8" t="s">
        <v>1700</v>
      </c>
      <c r="O432" s="149"/>
    </row>
    <row r="433" spans="1:15" s="9" customFormat="1" ht="16.5" customHeight="1">
      <c r="A433" s="2">
        <v>43</v>
      </c>
      <c r="B433" s="3">
        <v>45</v>
      </c>
      <c r="C433" s="3">
        <v>385</v>
      </c>
      <c r="D433" s="3" t="s">
        <v>14</v>
      </c>
      <c r="E433" s="3"/>
      <c r="F433" s="4"/>
      <c r="G433" s="5" t="s">
        <v>1070</v>
      </c>
      <c r="H433" s="4" t="s">
        <v>1071</v>
      </c>
      <c r="I433" s="3" t="s">
        <v>2771</v>
      </c>
      <c r="J433" s="3" t="s">
        <v>35</v>
      </c>
      <c r="K433" s="6">
        <v>2500</v>
      </c>
      <c r="L433" s="6"/>
      <c r="M433" s="6">
        <f t="shared" si="58"/>
        <v>2500</v>
      </c>
      <c r="N433" s="8" t="s">
        <v>2934</v>
      </c>
      <c r="O433" s="149"/>
    </row>
    <row r="434" spans="1:15" s="9" customFormat="1" ht="16.5" customHeight="1">
      <c r="A434" s="2">
        <v>43</v>
      </c>
      <c r="B434" s="3">
        <v>46</v>
      </c>
      <c r="C434" s="3">
        <v>386</v>
      </c>
      <c r="D434" s="3" t="s">
        <v>1065</v>
      </c>
      <c r="E434" s="3"/>
      <c r="F434" s="4"/>
      <c r="G434" s="5" t="s">
        <v>1072</v>
      </c>
      <c r="H434" s="4" t="s">
        <v>1067</v>
      </c>
      <c r="I434" s="3" t="s">
        <v>2772</v>
      </c>
      <c r="J434" s="3" t="s">
        <v>1069</v>
      </c>
      <c r="K434" s="6">
        <v>1200</v>
      </c>
      <c r="L434" s="6"/>
      <c r="M434" s="6">
        <f t="shared" si="58"/>
        <v>1200</v>
      </c>
      <c r="N434" s="8" t="s">
        <v>2934</v>
      </c>
      <c r="O434" s="149"/>
    </row>
    <row r="435" spans="1:15" s="9" customFormat="1" ht="16.5" customHeight="1">
      <c r="A435" s="2">
        <v>43</v>
      </c>
      <c r="B435" s="3">
        <v>47</v>
      </c>
      <c r="C435" s="3">
        <v>387</v>
      </c>
      <c r="D435" s="3" t="s">
        <v>1065</v>
      </c>
      <c r="E435" s="3"/>
      <c r="F435" s="4"/>
      <c r="G435" s="5" t="s">
        <v>1073</v>
      </c>
      <c r="H435" s="4" t="s">
        <v>1074</v>
      </c>
      <c r="I435" s="3" t="s">
        <v>2773</v>
      </c>
      <c r="J435" s="3" t="s">
        <v>79</v>
      </c>
      <c r="K435" s="6">
        <v>2000</v>
      </c>
      <c r="L435" s="6"/>
      <c r="M435" s="6">
        <f t="shared" si="58"/>
        <v>2000</v>
      </c>
      <c r="N435" s="8" t="s">
        <v>2934</v>
      </c>
      <c r="O435" s="149"/>
    </row>
    <row r="436" spans="1:15" s="9" customFormat="1" ht="16.5" customHeight="1">
      <c r="A436" s="2">
        <v>43</v>
      </c>
      <c r="B436" s="3">
        <v>48</v>
      </c>
      <c r="C436" s="3">
        <v>388</v>
      </c>
      <c r="D436" s="3" t="s">
        <v>1065</v>
      </c>
      <c r="E436" s="3"/>
      <c r="F436" s="4"/>
      <c r="G436" s="5" t="s">
        <v>1073</v>
      </c>
      <c r="H436" s="4" t="s">
        <v>1075</v>
      </c>
      <c r="I436" s="3" t="s">
        <v>2773</v>
      </c>
      <c r="J436" s="3" t="s">
        <v>79</v>
      </c>
      <c r="K436" s="6">
        <v>1000</v>
      </c>
      <c r="L436" s="6"/>
      <c r="M436" s="6">
        <f t="shared" si="58"/>
        <v>1000</v>
      </c>
      <c r="N436" s="8" t="s">
        <v>2934</v>
      </c>
      <c r="O436" s="149"/>
    </row>
    <row r="437" spans="1:15" s="9" customFormat="1" ht="16.5" customHeight="1">
      <c r="A437" s="2">
        <v>43</v>
      </c>
      <c r="B437" s="3">
        <v>49</v>
      </c>
      <c r="C437" s="3">
        <v>389</v>
      </c>
      <c r="D437" s="3" t="s">
        <v>1065</v>
      </c>
      <c r="E437" s="3"/>
      <c r="F437" s="4"/>
      <c r="G437" s="5" t="s">
        <v>1073</v>
      </c>
      <c r="H437" s="4" t="s">
        <v>469</v>
      </c>
      <c r="I437" s="3" t="s">
        <v>2773</v>
      </c>
      <c r="J437" s="3" t="s">
        <v>79</v>
      </c>
      <c r="K437" s="6">
        <v>1000</v>
      </c>
      <c r="L437" s="6"/>
      <c r="M437" s="6">
        <f t="shared" si="58"/>
        <v>1000</v>
      </c>
      <c r="N437" s="8" t="s">
        <v>2934</v>
      </c>
      <c r="O437" s="149"/>
    </row>
    <row r="438" spans="1:15" s="9" customFormat="1" ht="16.5" customHeight="1">
      <c r="A438" s="2">
        <v>43</v>
      </c>
      <c r="B438" s="3">
        <v>50</v>
      </c>
      <c r="C438" s="3">
        <v>390</v>
      </c>
      <c r="D438" s="3" t="s">
        <v>1065</v>
      </c>
      <c r="E438" s="3"/>
      <c r="F438" s="4"/>
      <c r="G438" s="5" t="s">
        <v>1073</v>
      </c>
      <c r="H438" s="4" t="s">
        <v>1076</v>
      </c>
      <c r="I438" s="3" t="s">
        <v>2773</v>
      </c>
      <c r="J438" s="3" t="s">
        <v>79</v>
      </c>
      <c r="K438" s="6">
        <v>500</v>
      </c>
      <c r="L438" s="6"/>
      <c r="M438" s="6">
        <f t="shared" si="58"/>
        <v>500</v>
      </c>
      <c r="N438" s="8" t="s">
        <v>2934</v>
      </c>
      <c r="O438" s="149"/>
    </row>
    <row r="439" spans="1:15" s="9" customFormat="1" ht="16.5" customHeight="1">
      <c r="A439" s="2">
        <v>43</v>
      </c>
      <c r="B439" s="3">
        <v>51</v>
      </c>
      <c r="C439" s="3">
        <v>391</v>
      </c>
      <c r="D439" s="3" t="s">
        <v>1065</v>
      </c>
      <c r="E439" s="3"/>
      <c r="F439" s="4"/>
      <c r="G439" s="5" t="s">
        <v>1073</v>
      </c>
      <c r="H439" s="4" t="s">
        <v>1077</v>
      </c>
      <c r="I439" s="3" t="s">
        <v>2773</v>
      </c>
      <c r="J439" s="3" t="s">
        <v>79</v>
      </c>
      <c r="K439" s="6">
        <v>100</v>
      </c>
      <c r="L439" s="6"/>
      <c r="M439" s="6">
        <f t="shared" si="58"/>
        <v>100</v>
      </c>
      <c r="N439" s="8" t="s">
        <v>2934</v>
      </c>
      <c r="O439" s="149"/>
    </row>
    <row r="440" spans="1:15" s="9" customFormat="1" ht="16.5" customHeight="1">
      <c r="A440" s="2">
        <v>43</v>
      </c>
      <c r="B440" s="3">
        <v>52</v>
      </c>
      <c r="C440" s="3">
        <v>392</v>
      </c>
      <c r="D440" s="3" t="s">
        <v>1065</v>
      </c>
      <c r="E440" s="3"/>
      <c r="F440" s="4"/>
      <c r="G440" s="5" t="s">
        <v>1073</v>
      </c>
      <c r="H440" s="4" t="s">
        <v>1078</v>
      </c>
      <c r="I440" s="3" t="s">
        <v>2773</v>
      </c>
      <c r="J440" s="3" t="s">
        <v>79</v>
      </c>
      <c r="K440" s="6">
        <v>100</v>
      </c>
      <c r="L440" s="6"/>
      <c r="M440" s="6">
        <f t="shared" si="58"/>
        <v>100</v>
      </c>
      <c r="N440" s="8" t="s">
        <v>2934</v>
      </c>
      <c r="O440" s="149"/>
    </row>
    <row r="441" spans="1:15" s="9" customFormat="1" ht="16.5" customHeight="1">
      <c r="A441" s="2">
        <v>43</v>
      </c>
      <c r="B441" s="3">
        <v>53</v>
      </c>
      <c r="C441" s="3">
        <v>393</v>
      </c>
      <c r="D441" s="3" t="s">
        <v>1065</v>
      </c>
      <c r="E441" s="3"/>
      <c r="F441" s="4"/>
      <c r="G441" s="5" t="s">
        <v>1073</v>
      </c>
      <c r="H441" s="4" t="s">
        <v>1079</v>
      </c>
      <c r="I441" s="3" t="s">
        <v>2774</v>
      </c>
      <c r="J441" s="3" t="s">
        <v>79</v>
      </c>
      <c r="K441" s="6">
        <v>100</v>
      </c>
      <c r="L441" s="6"/>
      <c r="M441" s="6">
        <f t="shared" si="58"/>
        <v>100</v>
      </c>
      <c r="N441" s="8" t="s">
        <v>2934</v>
      </c>
      <c r="O441" s="149"/>
    </row>
    <row r="442" spans="1:15" s="9" customFormat="1" ht="16.5" customHeight="1">
      <c r="A442" s="2">
        <v>43</v>
      </c>
      <c r="B442" s="3">
        <v>54</v>
      </c>
      <c r="C442" s="3">
        <v>394</v>
      </c>
      <c r="D442" s="3" t="s">
        <v>106</v>
      </c>
      <c r="E442" s="3"/>
      <c r="F442" s="4"/>
      <c r="G442" s="5" t="s">
        <v>1080</v>
      </c>
      <c r="H442" s="4" t="s">
        <v>1081</v>
      </c>
      <c r="I442" s="3"/>
      <c r="J442" s="3" t="s">
        <v>18</v>
      </c>
      <c r="K442" s="6">
        <v>10</v>
      </c>
      <c r="L442" s="6"/>
      <c r="M442" s="6">
        <f t="shared" si="58"/>
        <v>10</v>
      </c>
      <c r="N442" s="8" t="s">
        <v>2934</v>
      </c>
      <c r="O442" s="149"/>
    </row>
    <row r="443" spans="1:15" s="9" customFormat="1" ht="16.5" customHeight="1">
      <c r="A443" s="2">
        <v>43</v>
      </c>
      <c r="B443" s="3">
        <v>55</v>
      </c>
      <c r="C443" s="3">
        <v>395</v>
      </c>
      <c r="D443" s="3" t="s">
        <v>14</v>
      </c>
      <c r="E443" s="3"/>
      <c r="F443" s="4"/>
      <c r="G443" s="5" t="s">
        <v>1082</v>
      </c>
      <c r="H443" s="4" t="s">
        <v>1083</v>
      </c>
      <c r="I443" s="3" t="s">
        <v>2775</v>
      </c>
      <c r="J443" s="3" t="s">
        <v>13</v>
      </c>
      <c r="K443" s="6">
        <v>1000</v>
      </c>
      <c r="L443" s="6"/>
      <c r="M443" s="6">
        <f t="shared" si="58"/>
        <v>1000</v>
      </c>
      <c r="N443" s="8" t="s">
        <v>2934</v>
      </c>
      <c r="O443" s="149"/>
    </row>
    <row r="444" spans="1:15" ht="16.5" customHeight="1">
      <c r="A444" s="13"/>
      <c r="B444" s="14"/>
      <c r="C444" s="14"/>
      <c r="D444" s="14"/>
      <c r="E444" s="14"/>
      <c r="F444" s="15"/>
      <c r="G444" s="16"/>
      <c r="H444" s="15"/>
      <c r="I444" s="15"/>
      <c r="J444" s="14"/>
      <c r="K444" s="157">
        <f>SUM(K389:K443)</f>
        <v>25185</v>
      </c>
      <c r="L444" s="157">
        <f t="shared" ref="L444:M444" si="59">SUM(L389:L443)</f>
        <v>7292</v>
      </c>
      <c r="M444" s="157">
        <f t="shared" si="59"/>
        <v>32477</v>
      </c>
      <c r="N444" s="17"/>
      <c r="O444" s="145"/>
    </row>
    <row r="445" spans="1:15" s="9" customFormat="1" ht="16.5" customHeight="1">
      <c r="A445" s="2">
        <v>44</v>
      </c>
      <c r="B445" s="3">
        <v>1</v>
      </c>
      <c r="C445" s="3">
        <v>396</v>
      </c>
      <c r="D445" s="3" t="s">
        <v>9</v>
      </c>
      <c r="E445" s="3"/>
      <c r="F445" s="4"/>
      <c r="G445" s="5" t="s">
        <v>10</v>
      </c>
      <c r="H445" s="4" t="s">
        <v>11</v>
      </c>
      <c r="I445" s="3" t="s">
        <v>12</v>
      </c>
      <c r="J445" s="3" t="s">
        <v>13</v>
      </c>
      <c r="K445" s="6">
        <f>200+200</f>
        <v>400</v>
      </c>
      <c r="L445" s="6"/>
      <c r="M445" s="6">
        <f t="shared" si="58"/>
        <v>400</v>
      </c>
      <c r="N445" s="8" t="s">
        <v>2934</v>
      </c>
      <c r="O445" s="149"/>
    </row>
    <row r="446" spans="1:15" s="9" customFormat="1" ht="16.5" customHeight="1">
      <c r="A446" s="2">
        <v>44</v>
      </c>
      <c r="B446" s="3">
        <v>2</v>
      </c>
      <c r="C446" s="3">
        <v>397</v>
      </c>
      <c r="D446" s="3" t="s">
        <v>2075</v>
      </c>
      <c r="E446" s="3"/>
      <c r="F446" s="4" t="s">
        <v>15</v>
      </c>
      <c r="G446" s="5" t="s">
        <v>16</v>
      </c>
      <c r="H446" s="4" t="s">
        <v>17</v>
      </c>
      <c r="I446" s="3" t="s">
        <v>2530</v>
      </c>
      <c r="J446" s="3" t="s">
        <v>18</v>
      </c>
      <c r="K446" s="6">
        <v>300</v>
      </c>
      <c r="L446" s="6"/>
      <c r="M446" s="6">
        <f t="shared" si="58"/>
        <v>300</v>
      </c>
      <c r="N446" s="8" t="s">
        <v>19</v>
      </c>
      <c r="O446" s="149"/>
    </row>
    <row r="447" spans="1:15" s="9" customFormat="1" ht="16.5" customHeight="1">
      <c r="A447" s="2">
        <v>44</v>
      </c>
      <c r="B447" s="3">
        <v>3</v>
      </c>
      <c r="C447" s="3">
        <v>398</v>
      </c>
      <c r="D447" s="3"/>
      <c r="E447" s="3" t="s">
        <v>2075</v>
      </c>
      <c r="F447" s="4" t="s">
        <v>15</v>
      </c>
      <c r="G447" s="5" t="s">
        <v>1713</v>
      </c>
      <c r="H447" s="4" t="s">
        <v>1712</v>
      </c>
      <c r="I447" s="3" t="s">
        <v>2531</v>
      </c>
      <c r="J447" s="3" t="s">
        <v>85</v>
      </c>
      <c r="K447" s="6"/>
      <c r="L447" s="6">
        <v>4700</v>
      </c>
      <c r="M447" s="6">
        <f t="shared" si="58"/>
        <v>4700</v>
      </c>
      <c r="N447" s="8" t="s">
        <v>1700</v>
      </c>
      <c r="O447" s="149"/>
    </row>
    <row r="448" spans="1:15" s="9" customFormat="1" ht="16.5" customHeight="1">
      <c r="A448" s="2">
        <v>44</v>
      </c>
      <c r="B448" s="3">
        <v>4</v>
      </c>
      <c r="C448" s="3">
        <v>399</v>
      </c>
      <c r="D448" s="3"/>
      <c r="E448" s="3" t="s">
        <v>2075</v>
      </c>
      <c r="F448" s="4" t="s">
        <v>15</v>
      </c>
      <c r="G448" s="5" t="s">
        <v>1711</v>
      </c>
      <c r="H448" s="4" t="s">
        <v>1710</v>
      </c>
      <c r="I448" s="3" t="s">
        <v>2531</v>
      </c>
      <c r="J448" s="3" t="s">
        <v>85</v>
      </c>
      <c r="K448" s="6"/>
      <c r="L448" s="6">
        <v>60</v>
      </c>
      <c r="M448" s="6">
        <f t="shared" si="58"/>
        <v>60</v>
      </c>
      <c r="N448" s="8" t="s">
        <v>1700</v>
      </c>
      <c r="O448" s="149"/>
    </row>
    <row r="449" spans="1:15" s="9" customFormat="1" ht="16.5" customHeight="1">
      <c r="A449" s="2">
        <v>44</v>
      </c>
      <c r="B449" s="3">
        <v>5</v>
      </c>
      <c r="C449" s="3">
        <v>400</v>
      </c>
      <c r="D449" s="3" t="s">
        <v>2075</v>
      </c>
      <c r="E449" s="3"/>
      <c r="F449" s="4" t="s">
        <v>20</v>
      </c>
      <c r="G449" s="5" t="s">
        <v>21</v>
      </c>
      <c r="H449" s="4" t="s">
        <v>22</v>
      </c>
      <c r="I449" s="3" t="s">
        <v>2530</v>
      </c>
      <c r="J449" s="3" t="s">
        <v>23</v>
      </c>
      <c r="K449" s="6">
        <v>600</v>
      </c>
      <c r="L449" s="6"/>
      <c r="M449" s="6">
        <f t="shared" si="58"/>
        <v>600</v>
      </c>
      <c r="N449" s="8">
        <f>247*3</f>
        <v>741</v>
      </c>
      <c r="O449" s="149" t="s">
        <v>2958</v>
      </c>
    </row>
    <row r="450" spans="1:15" s="9" customFormat="1" ht="16.5" customHeight="1">
      <c r="A450" s="2">
        <v>44</v>
      </c>
      <c r="B450" s="3">
        <v>6</v>
      </c>
      <c r="C450" s="3">
        <v>401</v>
      </c>
      <c r="D450" s="3" t="s">
        <v>2532</v>
      </c>
      <c r="E450" s="3"/>
      <c r="F450" s="4"/>
      <c r="G450" s="5" t="s">
        <v>24</v>
      </c>
      <c r="H450" s="4" t="s">
        <v>25</v>
      </c>
      <c r="I450" s="3" t="s">
        <v>2533</v>
      </c>
      <c r="J450" s="3" t="s">
        <v>13</v>
      </c>
      <c r="K450" s="6">
        <f>10+5</f>
        <v>15</v>
      </c>
      <c r="L450" s="6"/>
      <c r="M450" s="6">
        <f t="shared" si="58"/>
        <v>15</v>
      </c>
      <c r="N450" s="8" t="s">
        <v>2934</v>
      </c>
      <c r="O450" s="149"/>
    </row>
    <row r="451" spans="1:15" s="9" customFormat="1" ht="16.5" customHeight="1">
      <c r="A451" s="2">
        <v>44</v>
      </c>
      <c r="B451" s="3">
        <v>7</v>
      </c>
      <c r="C451" s="3">
        <v>402</v>
      </c>
      <c r="D451" s="3"/>
      <c r="E451" s="3" t="s">
        <v>2075</v>
      </c>
      <c r="F451" s="4"/>
      <c r="G451" s="5" t="s">
        <v>1727</v>
      </c>
      <c r="H451" s="4" t="s">
        <v>11</v>
      </c>
      <c r="I451" s="3" t="s">
        <v>2534</v>
      </c>
      <c r="J451" s="3" t="s">
        <v>85</v>
      </c>
      <c r="K451" s="6"/>
      <c r="L451" s="6">
        <v>30</v>
      </c>
      <c r="M451" s="6">
        <f t="shared" si="58"/>
        <v>30</v>
      </c>
      <c r="N451" s="8" t="s">
        <v>1700</v>
      </c>
      <c r="O451" s="149"/>
    </row>
    <row r="452" spans="1:15" s="9" customFormat="1" ht="16.5" customHeight="1">
      <c r="A452" s="2">
        <v>44</v>
      </c>
      <c r="B452" s="3">
        <v>8</v>
      </c>
      <c r="C452" s="3">
        <v>403</v>
      </c>
      <c r="D452" s="3" t="s">
        <v>2535</v>
      </c>
      <c r="E452" s="3"/>
      <c r="F452" s="4"/>
      <c r="G452" s="5" t="s">
        <v>26</v>
      </c>
      <c r="H452" s="4" t="s">
        <v>27</v>
      </c>
      <c r="I452" s="3" t="s">
        <v>2536</v>
      </c>
      <c r="J452" s="3" t="s">
        <v>28</v>
      </c>
      <c r="K452" s="6">
        <v>150</v>
      </c>
      <c r="L452" s="6"/>
      <c r="M452" s="6">
        <f t="shared" si="58"/>
        <v>150</v>
      </c>
      <c r="N452" s="8" t="s">
        <v>2934</v>
      </c>
      <c r="O452" s="149"/>
    </row>
    <row r="453" spans="1:15" s="9" customFormat="1" ht="16.5" customHeight="1">
      <c r="A453" s="2">
        <v>44</v>
      </c>
      <c r="B453" s="3">
        <v>9</v>
      </c>
      <c r="C453" s="3">
        <v>404</v>
      </c>
      <c r="D453" s="3" t="s">
        <v>2537</v>
      </c>
      <c r="E453" s="3"/>
      <c r="F453" s="4"/>
      <c r="G453" s="5" t="s">
        <v>29</v>
      </c>
      <c r="H453" s="4" t="s">
        <v>30</v>
      </c>
      <c r="I453" s="3" t="s">
        <v>2531</v>
      </c>
      <c r="J453" s="3" t="s">
        <v>18</v>
      </c>
      <c r="K453" s="6">
        <v>100</v>
      </c>
      <c r="L453" s="6"/>
      <c r="M453" s="6">
        <f t="shared" ref="M453:M483" si="60">K453+L453</f>
        <v>100</v>
      </c>
      <c r="N453" s="8" t="s">
        <v>2934</v>
      </c>
      <c r="O453" s="149"/>
    </row>
    <row r="454" spans="1:15" s="9" customFormat="1" ht="16.5" customHeight="1">
      <c r="A454" s="2">
        <v>44</v>
      </c>
      <c r="B454" s="3">
        <v>10</v>
      </c>
      <c r="C454" s="3">
        <v>405</v>
      </c>
      <c r="D454" s="3" t="s">
        <v>2537</v>
      </c>
      <c r="E454" s="3"/>
      <c r="F454" s="4"/>
      <c r="G454" s="5" t="s">
        <v>31</v>
      </c>
      <c r="H454" s="4" t="s">
        <v>32</v>
      </c>
      <c r="I454" s="3" t="s">
        <v>2530</v>
      </c>
      <c r="J454" s="3" t="s">
        <v>18</v>
      </c>
      <c r="K454" s="6">
        <v>100</v>
      </c>
      <c r="L454" s="6"/>
      <c r="M454" s="6">
        <f t="shared" si="60"/>
        <v>100</v>
      </c>
      <c r="N454" s="8" t="s">
        <v>2934</v>
      </c>
      <c r="O454" s="149"/>
    </row>
    <row r="455" spans="1:15" s="9" customFormat="1" ht="16.5" customHeight="1">
      <c r="A455" s="2">
        <v>44</v>
      </c>
      <c r="B455" s="3">
        <v>11</v>
      </c>
      <c r="C455" s="3">
        <v>406</v>
      </c>
      <c r="D455" s="3" t="s">
        <v>2538</v>
      </c>
      <c r="E455" s="3"/>
      <c r="F455" s="4"/>
      <c r="G455" s="5" t="s">
        <v>34</v>
      </c>
      <c r="H455" s="4">
        <v>8526</v>
      </c>
      <c r="I455" s="3" t="s">
        <v>2531</v>
      </c>
      <c r="J455" s="3" t="s">
        <v>35</v>
      </c>
      <c r="K455" s="6">
        <f>2+5</f>
        <v>7</v>
      </c>
      <c r="L455" s="6"/>
      <c r="M455" s="6">
        <f t="shared" si="60"/>
        <v>7</v>
      </c>
      <c r="N455" s="8" t="s">
        <v>2934</v>
      </c>
      <c r="O455" s="149"/>
    </row>
    <row r="456" spans="1:15" s="9" customFormat="1" ht="16.5" customHeight="1">
      <c r="A456" s="2">
        <v>44</v>
      </c>
      <c r="B456" s="3">
        <v>12</v>
      </c>
      <c r="C456" s="3">
        <v>407</v>
      </c>
      <c r="D456" s="3" t="s">
        <v>2539</v>
      </c>
      <c r="E456" s="3"/>
      <c r="F456" s="4"/>
      <c r="G456" s="5" t="s">
        <v>36</v>
      </c>
      <c r="H456" s="4" t="s">
        <v>37</v>
      </c>
      <c r="I456" s="3" t="s">
        <v>2540</v>
      </c>
      <c r="J456" s="3" t="s">
        <v>38</v>
      </c>
      <c r="K456" s="6">
        <v>30</v>
      </c>
      <c r="L456" s="6"/>
      <c r="M456" s="6">
        <f t="shared" si="60"/>
        <v>30</v>
      </c>
      <c r="N456" s="8" t="s">
        <v>2934</v>
      </c>
      <c r="O456" s="149"/>
    </row>
    <row r="457" spans="1:15" s="9" customFormat="1" ht="16.5" customHeight="1">
      <c r="A457" s="2">
        <v>44</v>
      </c>
      <c r="B457" s="3">
        <v>13</v>
      </c>
      <c r="C457" s="3">
        <v>408</v>
      </c>
      <c r="D457" s="3" t="s">
        <v>2538</v>
      </c>
      <c r="E457" s="3"/>
      <c r="F457" s="4"/>
      <c r="G457" s="5" t="s">
        <v>39</v>
      </c>
      <c r="H457" s="4" t="s">
        <v>40</v>
      </c>
      <c r="I457" s="3" t="s">
        <v>2541</v>
      </c>
      <c r="J457" s="3" t="s">
        <v>38</v>
      </c>
      <c r="K457" s="6">
        <v>20</v>
      </c>
      <c r="L457" s="6"/>
      <c r="M457" s="6">
        <f t="shared" si="60"/>
        <v>20</v>
      </c>
      <c r="N457" s="8" t="s">
        <v>2934</v>
      </c>
      <c r="O457" s="149"/>
    </row>
    <row r="458" spans="1:15" s="9" customFormat="1" ht="16.5" customHeight="1">
      <c r="A458" s="2">
        <v>44</v>
      </c>
      <c r="B458" s="3">
        <v>14</v>
      </c>
      <c r="C458" s="3">
        <v>409</v>
      </c>
      <c r="D458" s="3" t="s">
        <v>2075</v>
      </c>
      <c r="E458" s="3"/>
      <c r="F458" s="4"/>
      <c r="G458" s="5" t="s">
        <v>41</v>
      </c>
      <c r="H458" s="4">
        <v>1860</v>
      </c>
      <c r="I458" s="3" t="s">
        <v>2531</v>
      </c>
      <c r="J458" s="3" t="s">
        <v>28</v>
      </c>
      <c r="K458" s="6">
        <v>500</v>
      </c>
      <c r="L458" s="6"/>
      <c r="M458" s="6">
        <f t="shared" si="60"/>
        <v>500</v>
      </c>
      <c r="N458" s="8" t="s">
        <v>2934</v>
      </c>
      <c r="O458" s="149"/>
    </row>
    <row r="459" spans="1:15" s="9" customFormat="1" ht="16.5" customHeight="1">
      <c r="A459" s="2">
        <v>44</v>
      </c>
      <c r="B459" s="3">
        <v>15</v>
      </c>
      <c r="C459" s="3">
        <v>410</v>
      </c>
      <c r="D459" s="3" t="s">
        <v>2542</v>
      </c>
      <c r="E459" s="3"/>
      <c r="F459" s="4" t="s">
        <v>42</v>
      </c>
      <c r="G459" s="5" t="s">
        <v>43</v>
      </c>
      <c r="H459" s="4" t="s">
        <v>44</v>
      </c>
      <c r="I459" s="3" t="s">
        <v>2531</v>
      </c>
      <c r="J459" s="3" t="s">
        <v>45</v>
      </c>
      <c r="K459" s="6">
        <v>60</v>
      </c>
      <c r="L459" s="6"/>
      <c r="M459" s="6">
        <f t="shared" si="60"/>
        <v>60</v>
      </c>
      <c r="N459" s="8">
        <f>565*50</f>
        <v>28250</v>
      </c>
      <c r="O459" s="149" t="s">
        <v>2947</v>
      </c>
    </row>
    <row r="460" spans="1:15" s="9" customFormat="1" ht="16.5" customHeight="1">
      <c r="A460" s="2">
        <v>44</v>
      </c>
      <c r="B460" s="3">
        <v>16</v>
      </c>
      <c r="C460" s="3">
        <v>411</v>
      </c>
      <c r="D460" s="3"/>
      <c r="E460" s="3" t="s">
        <v>2075</v>
      </c>
      <c r="F460" s="4" t="s">
        <v>42</v>
      </c>
      <c r="G460" s="5" t="s">
        <v>1707</v>
      </c>
      <c r="H460" s="4" t="s">
        <v>1708</v>
      </c>
      <c r="I460" s="3" t="s">
        <v>2531</v>
      </c>
      <c r="J460" s="3" t="s">
        <v>85</v>
      </c>
      <c r="K460" s="6"/>
      <c r="L460" s="6">
        <v>1000</v>
      </c>
      <c r="M460" s="6">
        <f t="shared" si="60"/>
        <v>1000</v>
      </c>
      <c r="N460" s="8">
        <v>565</v>
      </c>
      <c r="O460" s="149"/>
    </row>
    <row r="461" spans="1:15" s="9" customFormat="1" ht="16.5" customHeight="1">
      <c r="A461" s="2">
        <v>44</v>
      </c>
      <c r="B461" s="3">
        <v>17</v>
      </c>
      <c r="C461" s="3">
        <v>412</v>
      </c>
      <c r="D461" s="3" t="s">
        <v>2535</v>
      </c>
      <c r="E461" s="3"/>
      <c r="F461" s="4" t="s">
        <v>46</v>
      </c>
      <c r="G461" s="5" t="s">
        <v>47</v>
      </c>
      <c r="H461" s="4" t="s">
        <v>48</v>
      </c>
      <c r="I461" s="3" t="s">
        <v>2531</v>
      </c>
      <c r="J461" s="3" t="s">
        <v>49</v>
      </c>
      <c r="K461" s="6">
        <v>10</v>
      </c>
      <c r="L461" s="6"/>
      <c r="M461" s="6">
        <f t="shared" si="60"/>
        <v>10</v>
      </c>
      <c r="N461" s="8">
        <f>1810*10</f>
        <v>18100</v>
      </c>
      <c r="O461" s="149" t="s">
        <v>2938</v>
      </c>
    </row>
    <row r="462" spans="1:15" s="9" customFormat="1" ht="16.5" customHeight="1">
      <c r="A462" s="2">
        <v>44</v>
      </c>
      <c r="B462" s="3">
        <v>18</v>
      </c>
      <c r="C462" s="3">
        <v>413</v>
      </c>
      <c r="D462" s="3" t="s">
        <v>2542</v>
      </c>
      <c r="E462" s="3"/>
      <c r="F462" s="4" t="s">
        <v>50</v>
      </c>
      <c r="G462" s="5" t="s">
        <v>51</v>
      </c>
      <c r="H462" s="4">
        <v>1683</v>
      </c>
      <c r="I462" s="3" t="s">
        <v>2531</v>
      </c>
      <c r="J462" s="3" t="s">
        <v>52</v>
      </c>
      <c r="K462" s="6">
        <v>120</v>
      </c>
      <c r="L462" s="6"/>
      <c r="M462" s="6">
        <f t="shared" si="60"/>
        <v>120</v>
      </c>
      <c r="N462" s="8">
        <f>371*100</f>
        <v>37100</v>
      </c>
      <c r="O462" s="149" t="s">
        <v>2959</v>
      </c>
    </row>
    <row r="463" spans="1:15" s="9" customFormat="1" ht="16.5" customHeight="1">
      <c r="A463" s="2">
        <v>44</v>
      </c>
      <c r="B463" s="3">
        <v>19</v>
      </c>
      <c r="C463" s="3">
        <v>414</v>
      </c>
      <c r="D463" s="3" t="s">
        <v>2535</v>
      </c>
      <c r="E463" s="3"/>
      <c r="F463" s="4" t="s">
        <v>60</v>
      </c>
      <c r="G463" s="5" t="s">
        <v>61</v>
      </c>
      <c r="H463" s="4" t="s">
        <v>62</v>
      </c>
      <c r="I463" s="3" t="s">
        <v>2543</v>
      </c>
      <c r="J463" s="3" t="s">
        <v>28</v>
      </c>
      <c r="K463" s="6">
        <v>30</v>
      </c>
      <c r="L463" s="6"/>
      <c r="M463" s="6">
        <f t="shared" si="60"/>
        <v>30</v>
      </c>
      <c r="N463" s="8">
        <v>5920</v>
      </c>
      <c r="O463" s="149"/>
    </row>
    <row r="464" spans="1:15" s="9" customFormat="1" ht="16.5" customHeight="1">
      <c r="A464" s="2">
        <v>44</v>
      </c>
      <c r="B464" s="3">
        <v>20</v>
      </c>
      <c r="C464" s="3">
        <v>415</v>
      </c>
      <c r="D464" s="3" t="s">
        <v>2075</v>
      </c>
      <c r="E464" s="3"/>
      <c r="F464" s="4"/>
      <c r="G464" s="5" t="s">
        <v>53</v>
      </c>
      <c r="H464" s="4" t="s">
        <v>54</v>
      </c>
      <c r="I464" s="3" t="s">
        <v>2536</v>
      </c>
      <c r="J464" s="3" t="s">
        <v>1702</v>
      </c>
      <c r="K464" s="6">
        <v>200</v>
      </c>
      <c r="L464" s="6"/>
      <c r="M464" s="6">
        <f t="shared" si="60"/>
        <v>200</v>
      </c>
      <c r="N464" s="8" t="s">
        <v>2934</v>
      </c>
      <c r="O464" s="149"/>
    </row>
    <row r="465" spans="1:15" s="9" customFormat="1" ht="16.5" customHeight="1">
      <c r="A465" s="2">
        <v>44</v>
      </c>
      <c r="B465" s="3">
        <v>21</v>
      </c>
      <c r="C465" s="3">
        <v>416</v>
      </c>
      <c r="D465" s="3" t="s">
        <v>2538</v>
      </c>
      <c r="E465" s="3"/>
      <c r="F465" s="4"/>
      <c r="G465" s="5" t="s">
        <v>55</v>
      </c>
      <c r="H465" s="4" t="s">
        <v>56</v>
      </c>
      <c r="I465" s="3" t="s">
        <v>2544</v>
      </c>
      <c r="J465" s="3" t="s">
        <v>1703</v>
      </c>
      <c r="K465" s="6">
        <v>30</v>
      </c>
      <c r="L465" s="6">
        <v>45</v>
      </c>
      <c r="M465" s="6">
        <f t="shared" si="60"/>
        <v>75</v>
      </c>
      <c r="N465" s="8" t="s">
        <v>2934</v>
      </c>
      <c r="O465" s="149"/>
    </row>
    <row r="466" spans="1:15" s="9" customFormat="1" ht="16.5" customHeight="1">
      <c r="A466" s="2">
        <v>44</v>
      </c>
      <c r="B466" s="3">
        <v>22</v>
      </c>
      <c r="C466" s="3">
        <v>417</v>
      </c>
      <c r="D466" s="3" t="s">
        <v>2538</v>
      </c>
      <c r="E466" s="3"/>
      <c r="F466" s="4"/>
      <c r="G466" s="5" t="s">
        <v>55</v>
      </c>
      <c r="H466" s="4" t="s">
        <v>57</v>
      </c>
      <c r="I466" s="3" t="s">
        <v>2545</v>
      </c>
      <c r="J466" s="3" t="s">
        <v>1704</v>
      </c>
      <c r="K466" s="6">
        <v>150</v>
      </c>
      <c r="L466" s="6">
        <v>60</v>
      </c>
      <c r="M466" s="6">
        <f t="shared" si="60"/>
        <v>210</v>
      </c>
      <c r="N466" s="8" t="s">
        <v>2934</v>
      </c>
      <c r="O466" s="149"/>
    </row>
    <row r="467" spans="1:15" s="9" customFormat="1" ht="16.5" customHeight="1">
      <c r="A467" s="2">
        <v>44</v>
      </c>
      <c r="B467" s="3">
        <v>23</v>
      </c>
      <c r="C467" s="3">
        <v>418</v>
      </c>
      <c r="D467" s="3" t="s">
        <v>2537</v>
      </c>
      <c r="E467" s="3" t="s">
        <v>1705</v>
      </c>
      <c r="F467" s="4" t="s">
        <v>58</v>
      </c>
      <c r="G467" s="5" t="s">
        <v>59</v>
      </c>
      <c r="H467" s="4">
        <v>1581</v>
      </c>
      <c r="I467" s="3" t="s">
        <v>2531</v>
      </c>
      <c r="J467" s="3" t="s">
        <v>1706</v>
      </c>
      <c r="K467" s="6">
        <v>500</v>
      </c>
      <c r="L467" s="6">
        <v>720</v>
      </c>
      <c r="M467" s="6">
        <f t="shared" si="60"/>
        <v>1220</v>
      </c>
      <c r="N467" s="8" t="s">
        <v>1701</v>
      </c>
      <c r="O467" s="149"/>
    </row>
    <row r="468" spans="1:15" s="9" customFormat="1" ht="16.5" customHeight="1">
      <c r="A468" s="2">
        <v>44</v>
      </c>
      <c r="B468" s="3">
        <v>24</v>
      </c>
      <c r="C468" s="3">
        <v>419</v>
      </c>
      <c r="D468" s="3" t="s">
        <v>2535</v>
      </c>
      <c r="E468" s="3" t="s">
        <v>1705</v>
      </c>
      <c r="F468" s="4" t="s">
        <v>58</v>
      </c>
      <c r="G468" s="5" t="s">
        <v>1698</v>
      </c>
      <c r="H468" s="4" t="s">
        <v>1699</v>
      </c>
      <c r="I468" s="3" t="s">
        <v>2531</v>
      </c>
      <c r="J468" s="3" t="s">
        <v>28</v>
      </c>
      <c r="K468" s="6"/>
      <c r="L468" s="6">
        <v>10</v>
      </c>
      <c r="M468" s="6">
        <f t="shared" si="60"/>
        <v>10</v>
      </c>
      <c r="N468" s="8" t="s">
        <v>1700</v>
      </c>
      <c r="O468" s="149"/>
    </row>
    <row r="469" spans="1:15" s="9" customFormat="1" ht="16.5" customHeight="1">
      <c r="A469" s="2">
        <v>44</v>
      </c>
      <c r="B469" s="3">
        <v>25</v>
      </c>
      <c r="C469" s="3">
        <v>420</v>
      </c>
      <c r="D469" s="3"/>
      <c r="E469" s="3" t="s">
        <v>1705</v>
      </c>
      <c r="F469" s="4"/>
      <c r="G469" s="5" t="s">
        <v>1709</v>
      </c>
      <c r="H469" s="4" t="s">
        <v>213</v>
      </c>
      <c r="I469" s="3" t="s">
        <v>2546</v>
      </c>
      <c r="J469" s="3" t="s">
        <v>85</v>
      </c>
      <c r="K469" s="6"/>
      <c r="L469" s="6">
        <v>25</v>
      </c>
      <c r="M469" s="6">
        <f t="shared" si="60"/>
        <v>25</v>
      </c>
      <c r="N469" s="8" t="s">
        <v>1700</v>
      </c>
      <c r="O469" s="149"/>
    </row>
    <row r="470" spans="1:15" s="9" customFormat="1" ht="16.5" customHeight="1">
      <c r="A470" s="2">
        <v>44</v>
      </c>
      <c r="B470" s="3">
        <v>26</v>
      </c>
      <c r="C470" s="3">
        <v>421</v>
      </c>
      <c r="D470" s="3"/>
      <c r="E470" s="3" t="s">
        <v>1705</v>
      </c>
      <c r="F470" s="4"/>
      <c r="G470" s="5" t="s">
        <v>1709</v>
      </c>
      <c r="H470" s="4" t="s">
        <v>215</v>
      </c>
      <c r="I470" s="3" t="s">
        <v>2546</v>
      </c>
      <c r="J470" s="3" t="s">
        <v>85</v>
      </c>
      <c r="K470" s="6"/>
      <c r="L470" s="6">
        <v>15</v>
      </c>
      <c r="M470" s="6">
        <f t="shared" si="60"/>
        <v>15</v>
      </c>
      <c r="N470" s="8" t="s">
        <v>1700</v>
      </c>
      <c r="O470" s="149"/>
    </row>
    <row r="471" spans="1:15" s="9" customFormat="1" ht="16.5" customHeight="1">
      <c r="A471" s="2">
        <v>44</v>
      </c>
      <c r="B471" s="3">
        <v>27</v>
      </c>
      <c r="C471" s="3">
        <v>422</v>
      </c>
      <c r="D471" s="3"/>
      <c r="E471" s="3" t="s">
        <v>1705</v>
      </c>
      <c r="F471" s="4" t="s">
        <v>1715</v>
      </c>
      <c r="G471" s="5" t="s">
        <v>1714</v>
      </c>
      <c r="H471" s="4" t="s">
        <v>84</v>
      </c>
      <c r="I471" s="3" t="s">
        <v>2547</v>
      </c>
      <c r="J471" s="3" t="s">
        <v>85</v>
      </c>
      <c r="K471" s="6"/>
      <c r="L471" s="6">
        <v>100</v>
      </c>
      <c r="M471" s="6">
        <f t="shared" si="60"/>
        <v>100</v>
      </c>
      <c r="N471" s="8" t="s">
        <v>1700</v>
      </c>
      <c r="O471" s="149"/>
    </row>
    <row r="472" spans="1:15" s="9" customFormat="1" ht="16.5" customHeight="1">
      <c r="A472" s="2">
        <v>44</v>
      </c>
      <c r="B472" s="3">
        <v>28</v>
      </c>
      <c r="C472" s="3">
        <v>423</v>
      </c>
      <c r="D472" s="3"/>
      <c r="E472" s="3" t="s">
        <v>1705</v>
      </c>
      <c r="F472" s="4"/>
      <c r="G472" s="5" t="s">
        <v>1726</v>
      </c>
      <c r="H472" s="4" t="s">
        <v>1725</v>
      </c>
      <c r="I472" s="3" t="s">
        <v>2548</v>
      </c>
      <c r="J472" s="3" t="s">
        <v>85</v>
      </c>
      <c r="K472" s="6"/>
      <c r="L472" s="6">
        <v>1000</v>
      </c>
      <c r="M472" s="6">
        <f t="shared" si="60"/>
        <v>1000</v>
      </c>
      <c r="N472" s="8" t="s">
        <v>1724</v>
      </c>
      <c r="O472" s="149"/>
    </row>
    <row r="473" spans="1:15" s="9" customFormat="1" ht="16.5" customHeight="1">
      <c r="A473" s="2">
        <v>44</v>
      </c>
      <c r="B473" s="3">
        <v>29</v>
      </c>
      <c r="C473" s="3">
        <v>424</v>
      </c>
      <c r="D473" s="3"/>
      <c r="E473" s="3" t="s">
        <v>1705</v>
      </c>
      <c r="F473" s="4"/>
      <c r="G473" s="5" t="s">
        <v>1723</v>
      </c>
      <c r="H473" s="4" t="s">
        <v>1722</v>
      </c>
      <c r="I473" s="3" t="s">
        <v>2549</v>
      </c>
      <c r="J473" s="3" t="s">
        <v>85</v>
      </c>
      <c r="K473" s="6"/>
      <c r="L473" s="6">
        <v>1</v>
      </c>
      <c r="M473" s="6">
        <f t="shared" si="60"/>
        <v>1</v>
      </c>
      <c r="N473" s="8" t="s">
        <v>1700</v>
      </c>
      <c r="O473" s="149"/>
    </row>
    <row r="474" spans="1:15" s="9" customFormat="1" ht="16.5" customHeight="1">
      <c r="A474" s="2">
        <v>44</v>
      </c>
      <c r="B474" s="3">
        <v>30</v>
      </c>
      <c r="C474" s="3">
        <v>425</v>
      </c>
      <c r="D474" s="3"/>
      <c r="E474" s="3" t="s">
        <v>1705</v>
      </c>
      <c r="F474" s="4"/>
      <c r="G474" s="5" t="s">
        <v>1721</v>
      </c>
      <c r="H474" s="4" t="s">
        <v>1720</v>
      </c>
      <c r="I474" s="3" t="s">
        <v>2548</v>
      </c>
      <c r="J474" s="3" t="s">
        <v>85</v>
      </c>
      <c r="K474" s="6"/>
      <c r="L474" s="6">
        <v>1</v>
      </c>
      <c r="M474" s="6">
        <f t="shared" si="60"/>
        <v>1</v>
      </c>
      <c r="N474" s="8" t="s">
        <v>1700</v>
      </c>
      <c r="O474" s="149"/>
    </row>
    <row r="475" spans="1:15" s="9" customFormat="1" ht="16.5" customHeight="1">
      <c r="A475" s="2">
        <v>44</v>
      </c>
      <c r="B475" s="3">
        <v>31</v>
      </c>
      <c r="C475" s="3">
        <v>426</v>
      </c>
      <c r="D475" s="3"/>
      <c r="E475" s="3" t="s">
        <v>1705</v>
      </c>
      <c r="F475" s="4"/>
      <c r="G475" s="5" t="s">
        <v>1719</v>
      </c>
      <c r="H475" s="4" t="s">
        <v>1718</v>
      </c>
      <c r="I475" s="3" t="s">
        <v>2548</v>
      </c>
      <c r="J475" s="3" t="s">
        <v>85</v>
      </c>
      <c r="K475" s="6"/>
      <c r="L475" s="6">
        <v>1</v>
      </c>
      <c r="M475" s="6">
        <f t="shared" si="60"/>
        <v>1</v>
      </c>
      <c r="N475" s="8" t="s">
        <v>1700</v>
      </c>
      <c r="O475" s="149"/>
    </row>
    <row r="476" spans="1:15" s="9" customFormat="1" ht="16.5" customHeight="1">
      <c r="A476" s="2">
        <v>44</v>
      </c>
      <c r="B476" s="3">
        <v>32</v>
      </c>
      <c r="C476" s="3">
        <v>427</v>
      </c>
      <c r="D476" s="3"/>
      <c r="E476" s="3" t="s">
        <v>1705</v>
      </c>
      <c r="F476" s="4"/>
      <c r="G476" s="5" t="s">
        <v>1717</v>
      </c>
      <c r="H476" s="4" t="s">
        <v>1716</v>
      </c>
      <c r="I476" s="3" t="s">
        <v>2550</v>
      </c>
      <c r="J476" s="3" t="s">
        <v>85</v>
      </c>
      <c r="K476" s="6"/>
      <c r="L476" s="6">
        <v>10</v>
      </c>
      <c r="M476" s="6">
        <f t="shared" si="60"/>
        <v>10</v>
      </c>
      <c r="N476" s="8" t="s">
        <v>1700</v>
      </c>
      <c r="O476" s="149"/>
    </row>
    <row r="477" spans="1:15" s="9" customFormat="1" ht="16.5" customHeight="1">
      <c r="A477" s="2">
        <v>44</v>
      </c>
      <c r="B477" s="3">
        <v>33</v>
      </c>
      <c r="C477" s="3">
        <v>428</v>
      </c>
      <c r="D477" s="3"/>
      <c r="E477" s="3" t="s">
        <v>1705</v>
      </c>
      <c r="F477" s="4"/>
      <c r="G477" s="5" t="s">
        <v>1731</v>
      </c>
      <c r="H477" s="4" t="s">
        <v>84</v>
      </c>
      <c r="I477" s="3" t="s">
        <v>2551</v>
      </c>
      <c r="J477" s="3" t="s">
        <v>85</v>
      </c>
      <c r="K477" s="6"/>
      <c r="L477" s="6">
        <v>500</v>
      </c>
      <c r="M477" s="6">
        <f t="shared" si="60"/>
        <v>500</v>
      </c>
      <c r="N477" s="8" t="s">
        <v>1700</v>
      </c>
      <c r="O477" s="149"/>
    </row>
    <row r="478" spans="1:15" s="9" customFormat="1" ht="16.5" customHeight="1">
      <c r="A478" s="2">
        <v>44</v>
      </c>
      <c r="B478" s="3">
        <v>34</v>
      </c>
      <c r="C478" s="3">
        <v>429</v>
      </c>
      <c r="D478" s="3"/>
      <c r="E478" s="3" t="s">
        <v>1705</v>
      </c>
      <c r="F478" s="4" t="s">
        <v>1730</v>
      </c>
      <c r="G478" s="5" t="s">
        <v>1729</v>
      </c>
      <c r="H478" s="4" t="s">
        <v>1728</v>
      </c>
      <c r="I478" s="3" t="s">
        <v>2552</v>
      </c>
      <c r="J478" s="3" t="s">
        <v>85</v>
      </c>
      <c r="K478" s="6"/>
      <c r="L478" s="6">
        <v>10</v>
      </c>
      <c r="M478" s="6">
        <f t="shared" si="60"/>
        <v>10</v>
      </c>
      <c r="N478" s="8">
        <v>55090</v>
      </c>
      <c r="O478" s="149"/>
    </row>
    <row r="479" spans="1:15" s="9" customFormat="1" ht="16.5" customHeight="1">
      <c r="A479" s="2">
        <v>44</v>
      </c>
      <c r="B479" s="3">
        <v>35</v>
      </c>
      <c r="C479" s="3">
        <v>430</v>
      </c>
      <c r="D479" s="3"/>
      <c r="E479" s="3" t="s">
        <v>1705</v>
      </c>
      <c r="F479" s="4"/>
      <c r="G479" s="5" t="s">
        <v>1740</v>
      </c>
      <c r="H479" s="4" t="s">
        <v>1737</v>
      </c>
      <c r="I479" s="3" t="s">
        <v>2531</v>
      </c>
      <c r="J479" s="3" t="s">
        <v>85</v>
      </c>
      <c r="K479" s="6"/>
      <c r="L479" s="6">
        <v>72</v>
      </c>
      <c r="M479" s="6">
        <f t="shared" si="60"/>
        <v>72</v>
      </c>
      <c r="N479" s="8" t="s">
        <v>1700</v>
      </c>
      <c r="O479" s="149"/>
    </row>
    <row r="480" spans="1:15" s="9" customFormat="1" ht="16.5" customHeight="1">
      <c r="A480" s="2">
        <v>44</v>
      </c>
      <c r="B480" s="3">
        <v>36</v>
      </c>
      <c r="C480" s="3">
        <v>431</v>
      </c>
      <c r="D480" s="3"/>
      <c r="E480" s="3" t="s">
        <v>1705</v>
      </c>
      <c r="F480" s="4"/>
      <c r="G480" s="5" t="s">
        <v>1739</v>
      </c>
      <c r="H480" s="4" t="s">
        <v>1735</v>
      </c>
      <c r="I480" s="3" t="s">
        <v>2531</v>
      </c>
      <c r="J480" s="3" t="s">
        <v>85</v>
      </c>
      <c r="K480" s="6"/>
      <c r="L480" s="6">
        <v>6480</v>
      </c>
      <c r="M480" s="6">
        <f t="shared" si="60"/>
        <v>6480</v>
      </c>
      <c r="N480" s="8" t="s">
        <v>1700</v>
      </c>
      <c r="O480" s="149"/>
    </row>
    <row r="481" spans="1:15" s="9" customFormat="1" ht="16.5" customHeight="1">
      <c r="A481" s="2">
        <v>44</v>
      </c>
      <c r="B481" s="3">
        <v>37</v>
      </c>
      <c r="C481" s="3">
        <v>432</v>
      </c>
      <c r="D481" s="3"/>
      <c r="E481" s="3" t="s">
        <v>1705</v>
      </c>
      <c r="F481" s="4"/>
      <c r="G481" s="5" t="s">
        <v>1738</v>
      </c>
      <c r="H481" s="4" t="s">
        <v>1737</v>
      </c>
      <c r="I481" s="3" t="s">
        <v>2531</v>
      </c>
      <c r="J481" s="3" t="s">
        <v>85</v>
      </c>
      <c r="K481" s="6"/>
      <c r="L481" s="6">
        <v>72</v>
      </c>
      <c r="M481" s="6">
        <f t="shared" si="60"/>
        <v>72</v>
      </c>
      <c r="N481" s="8" t="s">
        <v>1700</v>
      </c>
      <c r="O481" s="149"/>
    </row>
    <row r="482" spans="1:15" s="9" customFormat="1" ht="16.5" customHeight="1">
      <c r="A482" s="2">
        <v>44</v>
      </c>
      <c r="B482" s="3">
        <v>38</v>
      </c>
      <c r="C482" s="3">
        <v>433</v>
      </c>
      <c r="D482" s="3"/>
      <c r="E482" s="3" t="s">
        <v>1705</v>
      </c>
      <c r="F482" s="4"/>
      <c r="G482" s="5" t="s">
        <v>1736</v>
      </c>
      <c r="H482" s="4" t="s">
        <v>1735</v>
      </c>
      <c r="I482" s="3" t="s">
        <v>2531</v>
      </c>
      <c r="J482" s="3" t="s">
        <v>85</v>
      </c>
      <c r="K482" s="6"/>
      <c r="L482" s="6">
        <v>24</v>
      </c>
      <c r="M482" s="6">
        <f t="shared" si="60"/>
        <v>24</v>
      </c>
      <c r="N482" s="8" t="s">
        <v>1700</v>
      </c>
      <c r="O482" s="149"/>
    </row>
    <row r="483" spans="1:15" s="9" customFormat="1" ht="16.5" customHeight="1">
      <c r="A483" s="2">
        <v>44</v>
      </c>
      <c r="B483" s="3">
        <v>39</v>
      </c>
      <c r="C483" s="3">
        <v>434</v>
      </c>
      <c r="D483" s="3"/>
      <c r="E483" s="3" t="s">
        <v>1705</v>
      </c>
      <c r="F483" s="4"/>
      <c r="G483" s="5" t="s">
        <v>1734</v>
      </c>
      <c r="H483" s="4" t="s">
        <v>1733</v>
      </c>
      <c r="I483" s="3" t="s">
        <v>2553</v>
      </c>
      <c r="J483" s="3" t="s">
        <v>206</v>
      </c>
      <c r="K483" s="6"/>
      <c r="L483" s="6">
        <v>300</v>
      </c>
      <c r="M483" s="6">
        <f t="shared" si="60"/>
        <v>300</v>
      </c>
      <c r="N483" s="8" t="s">
        <v>1700</v>
      </c>
      <c r="O483" s="149"/>
    </row>
    <row r="484" spans="1:15" s="9" customFormat="1" ht="16.5" customHeight="1">
      <c r="A484" s="13"/>
      <c r="B484" s="14"/>
      <c r="C484" s="14"/>
      <c r="D484" s="14"/>
      <c r="E484" s="14"/>
      <c r="F484" s="15"/>
      <c r="G484" s="16"/>
      <c r="H484" s="15"/>
      <c r="I484" s="15"/>
      <c r="J484" s="14"/>
      <c r="K484" s="157">
        <f>SUM(K445:K483)</f>
        <v>3322</v>
      </c>
      <c r="L484" s="157">
        <f t="shared" ref="L484:M484" si="61">SUM(L445:L483)</f>
        <v>15236</v>
      </c>
      <c r="M484" s="157">
        <f t="shared" si="61"/>
        <v>18558</v>
      </c>
      <c r="N484" s="17"/>
      <c r="O484" s="145"/>
    </row>
    <row r="485" spans="1:15" s="9" customFormat="1" ht="16.5" customHeight="1">
      <c r="A485" s="2">
        <v>45</v>
      </c>
      <c r="B485" s="3">
        <v>1</v>
      </c>
      <c r="C485" s="3">
        <v>435</v>
      </c>
      <c r="D485" s="3" t="s">
        <v>75</v>
      </c>
      <c r="E485" s="3"/>
      <c r="F485" s="4" t="s">
        <v>1120</v>
      </c>
      <c r="G485" s="5" t="s">
        <v>1121</v>
      </c>
      <c r="H485" s="4" t="s">
        <v>1122</v>
      </c>
      <c r="I485" s="3" t="s">
        <v>2805</v>
      </c>
      <c r="J485" s="3" t="s">
        <v>28</v>
      </c>
      <c r="K485" s="6">
        <v>10</v>
      </c>
      <c r="L485" s="6"/>
      <c r="M485" s="6">
        <f t="shared" ref="M485:M516" si="62">K485+L485</f>
        <v>10</v>
      </c>
      <c r="N485" s="8">
        <v>651640</v>
      </c>
      <c r="O485" s="149" t="s">
        <v>1123</v>
      </c>
    </row>
    <row r="486" spans="1:15" s="9" customFormat="1" ht="16.5" customHeight="1">
      <c r="A486" s="2">
        <v>45</v>
      </c>
      <c r="B486" s="3">
        <v>2</v>
      </c>
      <c r="C486" s="3">
        <v>436</v>
      </c>
      <c r="D486" s="3" t="s">
        <v>75</v>
      </c>
      <c r="E486" s="3"/>
      <c r="F486" s="4" t="s">
        <v>1124</v>
      </c>
      <c r="G486" s="5" t="s">
        <v>1121</v>
      </c>
      <c r="H486" s="4" t="s">
        <v>1125</v>
      </c>
      <c r="I486" s="3" t="s">
        <v>2806</v>
      </c>
      <c r="J486" s="3" t="s">
        <v>28</v>
      </c>
      <c r="K486" s="6">
        <v>10</v>
      </c>
      <c r="L486" s="6"/>
      <c r="M486" s="6">
        <f t="shared" si="62"/>
        <v>10</v>
      </c>
      <c r="N486" s="8">
        <v>678050</v>
      </c>
      <c r="O486" s="149" t="s">
        <v>1126</v>
      </c>
    </row>
    <row r="487" spans="1:15" s="9" customFormat="1" ht="16.5" customHeight="1">
      <c r="A487" s="2">
        <v>45</v>
      </c>
      <c r="B487" s="3">
        <v>3</v>
      </c>
      <c r="C487" s="3">
        <v>437</v>
      </c>
      <c r="D487" s="3"/>
      <c r="E487" s="3" t="s">
        <v>2065</v>
      </c>
      <c r="F487" s="4" t="s">
        <v>2066</v>
      </c>
      <c r="G487" s="5" t="s">
        <v>2067</v>
      </c>
      <c r="H487" s="4" t="s">
        <v>2068</v>
      </c>
      <c r="I487" s="3" t="s">
        <v>2807</v>
      </c>
      <c r="J487" s="3" t="s">
        <v>85</v>
      </c>
      <c r="K487" s="6"/>
      <c r="L487" s="6">
        <v>6</v>
      </c>
      <c r="M487" s="6">
        <f t="shared" si="62"/>
        <v>6</v>
      </c>
      <c r="N487" s="8">
        <v>124870</v>
      </c>
      <c r="O487" s="149"/>
    </row>
    <row r="488" spans="1:15" s="9" customFormat="1" ht="24" customHeight="1">
      <c r="A488" s="2">
        <v>45</v>
      </c>
      <c r="B488" s="3">
        <v>4</v>
      </c>
      <c r="C488" s="3">
        <v>438</v>
      </c>
      <c r="D488" s="3"/>
      <c r="E488" s="3" t="s">
        <v>1779</v>
      </c>
      <c r="F488" s="4" t="s">
        <v>2069</v>
      </c>
      <c r="G488" s="101" t="s">
        <v>2921</v>
      </c>
      <c r="H488" s="4" t="s">
        <v>2070</v>
      </c>
      <c r="I488" s="3" t="s">
        <v>2808</v>
      </c>
      <c r="J488" s="3" t="s">
        <v>85</v>
      </c>
      <c r="K488" s="6"/>
      <c r="L488" s="6">
        <f>50+50</f>
        <v>100</v>
      </c>
      <c r="M488" s="6">
        <f t="shared" si="62"/>
        <v>100</v>
      </c>
      <c r="N488" s="8">
        <v>124870</v>
      </c>
      <c r="O488" s="149" t="s">
        <v>2071</v>
      </c>
    </row>
    <row r="489" spans="1:15" s="9" customFormat="1" ht="16.5" customHeight="1">
      <c r="A489" s="2">
        <v>45</v>
      </c>
      <c r="B489" s="3">
        <v>5</v>
      </c>
      <c r="C489" s="3">
        <v>439</v>
      </c>
      <c r="D489" s="3"/>
      <c r="E489" s="3" t="s">
        <v>2072</v>
      </c>
      <c r="F489" s="4"/>
      <c r="G489" s="5" t="s">
        <v>2922</v>
      </c>
      <c r="H489" s="4" t="s">
        <v>2074</v>
      </c>
      <c r="I489" s="3" t="s">
        <v>2809</v>
      </c>
      <c r="J489" s="3" t="s">
        <v>85</v>
      </c>
      <c r="K489" s="6"/>
      <c r="L489" s="6">
        <v>15</v>
      </c>
      <c r="M489" s="6">
        <f t="shared" si="62"/>
        <v>15</v>
      </c>
      <c r="N489" s="8" t="s">
        <v>1700</v>
      </c>
      <c r="O489" s="149"/>
    </row>
    <row r="490" spans="1:15" s="9" customFormat="1" ht="16.5" customHeight="1">
      <c r="A490" s="2">
        <v>45</v>
      </c>
      <c r="B490" s="3">
        <v>6</v>
      </c>
      <c r="C490" s="3">
        <v>440</v>
      </c>
      <c r="D490" s="3" t="s">
        <v>75</v>
      </c>
      <c r="E490" s="3"/>
      <c r="F490" s="4"/>
      <c r="G490" s="5" t="s">
        <v>1127</v>
      </c>
      <c r="H490" s="4" t="s">
        <v>1128</v>
      </c>
      <c r="I490" s="3" t="s">
        <v>2810</v>
      </c>
      <c r="J490" s="3" t="s">
        <v>85</v>
      </c>
      <c r="K490" s="6">
        <v>5</v>
      </c>
      <c r="L490" s="6">
        <v>1</v>
      </c>
      <c r="M490" s="6">
        <f t="shared" si="62"/>
        <v>6</v>
      </c>
      <c r="N490" s="8" t="s">
        <v>2934</v>
      </c>
      <c r="O490" s="149"/>
    </row>
    <row r="491" spans="1:15" s="9" customFormat="1" ht="16.5" customHeight="1">
      <c r="A491" s="2">
        <v>45</v>
      </c>
      <c r="B491" s="3">
        <v>7</v>
      </c>
      <c r="C491" s="3">
        <v>441</v>
      </c>
      <c r="D491" s="3"/>
      <c r="E491" s="3" t="s">
        <v>2072</v>
      </c>
      <c r="F491" s="4"/>
      <c r="G491" s="5" t="s">
        <v>1127</v>
      </c>
      <c r="H491" s="4" t="s">
        <v>2073</v>
      </c>
      <c r="I491" s="3" t="s">
        <v>2811</v>
      </c>
      <c r="J491" s="3" t="s">
        <v>85</v>
      </c>
      <c r="K491" s="6"/>
      <c r="L491" s="6">
        <v>1</v>
      </c>
      <c r="M491" s="6">
        <f t="shared" si="62"/>
        <v>1</v>
      </c>
      <c r="N491" s="8" t="s">
        <v>1700</v>
      </c>
      <c r="O491" s="149"/>
    </row>
    <row r="492" spans="1:15" s="9" customFormat="1" ht="16.5" customHeight="1">
      <c r="A492" s="2">
        <v>45</v>
      </c>
      <c r="B492" s="3">
        <v>8</v>
      </c>
      <c r="C492" s="3">
        <v>442</v>
      </c>
      <c r="D492" s="3" t="s">
        <v>75</v>
      </c>
      <c r="E492" s="3"/>
      <c r="F492" s="4"/>
      <c r="G492" s="5" t="s">
        <v>1130</v>
      </c>
      <c r="H492" s="4" t="s">
        <v>1131</v>
      </c>
      <c r="I492" s="3"/>
      <c r="J492" s="3" t="s">
        <v>28</v>
      </c>
      <c r="K492" s="6">
        <v>2</v>
      </c>
      <c r="L492" s="6"/>
      <c r="M492" s="6">
        <f t="shared" si="62"/>
        <v>2</v>
      </c>
      <c r="N492" s="8" t="s">
        <v>2934</v>
      </c>
      <c r="O492" s="149"/>
    </row>
    <row r="493" spans="1:15" s="9" customFormat="1" ht="16.5" customHeight="1">
      <c r="A493" s="2">
        <v>45</v>
      </c>
      <c r="B493" s="3">
        <v>9</v>
      </c>
      <c r="C493" s="3">
        <v>443</v>
      </c>
      <c r="D493" s="3" t="s">
        <v>75</v>
      </c>
      <c r="E493" s="3"/>
      <c r="F493" s="4"/>
      <c r="G493" s="5" t="s">
        <v>1132</v>
      </c>
      <c r="H493" s="4" t="s">
        <v>1133</v>
      </c>
      <c r="I493" s="3"/>
      <c r="J493" s="3" t="s">
        <v>28</v>
      </c>
      <c r="K493" s="6">
        <v>2</v>
      </c>
      <c r="L493" s="6"/>
      <c r="M493" s="6">
        <f t="shared" si="62"/>
        <v>2</v>
      </c>
      <c r="N493" s="8" t="s">
        <v>2934</v>
      </c>
      <c r="O493" s="149"/>
    </row>
    <row r="494" spans="1:15" s="9" customFormat="1" ht="16.5" customHeight="1">
      <c r="A494" s="2">
        <v>45</v>
      </c>
      <c r="B494" s="3">
        <v>10</v>
      </c>
      <c r="C494" s="3">
        <v>444</v>
      </c>
      <c r="D494" s="3" t="s">
        <v>75</v>
      </c>
      <c r="E494" s="3"/>
      <c r="F494" s="4"/>
      <c r="G494" s="5" t="s">
        <v>1134</v>
      </c>
      <c r="H494" s="4" t="s">
        <v>1135</v>
      </c>
      <c r="I494" s="3"/>
      <c r="J494" s="3" t="s">
        <v>28</v>
      </c>
      <c r="K494" s="6">
        <v>2</v>
      </c>
      <c r="L494" s="6"/>
      <c r="M494" s="6">
        <f t="shared" si="62"/>
        <v>2</v>
      </c>
      <c r="N494" s="8" t="s">
        <v>2934</v>
      </c>
      <c r="O494" s="149"/>
    </row>
    <row r="495" spans="1:15" s="9" customFormat="1" ht="16.5" customHeight="1">
      <c r="A495" s="2">
        <v>45</v>
      </c>
      <c r="B495" s="3">
        <v>11</v>
      </c>
      <c r="C495" s="3">
        <v>445</v>
      </c>
      <c r="D495" s="3" t="s">
        <v>75</v>
      </c>
      <c r="E495" s="3"/>
      <c r="F495" s="4"/>
      <c r="G495" s="5" t="s">
        <v>1136</v>
      </c>
      <c r="H495" s="4" t="s">
        <v>1137</v>
      </c>
      <c r="I495" s="3"/>
      <c r="J495" s="3" t="s">
        <v>28</v>
      </c>
      <c r="K495" s="6">
        <v>2</v>
      </c>
      <c r="L495" s="6"/>
      <c r="M495" s="6">
        <f t="shared" si="62"/>
        <v>2</v>
      </c>
      <c r="N495" s="8" t="s">
        <v>2934</v>
      </c>
      <c r="O495" s="149"/>
    </row>
    <row r="496" spans="1:15" s="9" customFormat="1" ht="16.5" customHeight="1">
      <c r="A496" s="2">
        <v>45</v>
      </c>
      <c r="B496" s="3">
        <v>12</v>
      </c>
      <c r="C496" s="3">
        <v>446</v>
      </c>
      <c r="D496" s="3" t="s">
        <v>75</v>
      </c>
      <c r="E496" s="3"/>
      <c r="F496" s="4"/>
      <c r="G496" s="5" t="s">
        <v>1138</v>
      </c>
      <c r="H496" s="4">
        <v>176645</v>
      </c>
      <c r="I496" s="3" t="s">
        <v>2812</v>
      </c>
      <c r="J496" s="3" t="s">
        <v>85</v>
      </c>
      <c r="K496" s="6">
        <v>3</v>
      </c>
      <c r="L496" s="6"/>
      <c r="M496" s="6">
        <f t="shared" si="62"/>
        <v>3</v>
      </c>
      <c r="N496" s="8" t="s">
        <v>2934</v>
      </c>
      <c r="O496" s="149"/>
    </row>
    <row r="497" spans="1:15" s="9" customFormat="1" ht="16.5" customHeight="1">
      <c r="A497" s="2">
        <v>45</v>
      </c>
      <c r="B497" s="3">
        <v>13</v>
      </c>
      <c r="C497" s="3">
        <v>447</v>
      </c>
      <c r="D497" s="3" t="s">
        <v>75</v>
      </c>
      <c r="E497" s="3"/>
      <c r="F497" s="4"/>
      <c r="G497" s="5" t="s">
        <v>1139</v>
      </c>
      <c r="H497" s="4">
        <v>173030</v>
      </c>
      <c r="I497" s="3" t="s">
        <v>2812</v>
      </c>
      <c r="J497" s="3" t="s">
        <v>85</v>
      </c>
      <c r="K497" s="6">
        <v>3</v>
      </c>
      <c r="L497" s="6"/>
      <c r="M497" s="6">
        <f t="shared" si="62"/>
        <v>3</v>
      </c>
      <c r="N497" s="8" t="s">
        <v>2934</v>
      </c>
      <c r="O497" s="149"/>
    </row>
    <row r="498" spans="1:15" s="9" customFormat="1" ht="16.5" customHeight="1">
      <c r="A498" s="2">
        <v>45</v>
      </c>
      <c r="B498" s="3">
        <v>14</v>
      </c>
      <c r="C498" s="3">
        <v>448</v>
      </c>
      <c r="D498" s="3" t="s">
        <v>75</v>
      </c>
      <c r="E498" s="3"/>
      <c r="F498" s="4"/>
      <c r="G498" s="5" t="s">
        <v>1140</v>
      </c>
      <c r="H498" s="4">
        <v>176605</v>
      </c>
      <c r="I498" s="3" t="s">
        <v>2812</v>
      </c>
      <c r="J498" s="3" t="s">
        <v>85</v>
      </c>
      <c r="K498" s="6">
        <v>3</v>
      </c>
      <c r="L498" s="6"/>
      <c r="M498" s="6">
        <f t="shared" si="62"/>
        <v>3</v>
      </c>
      <c r="N498" s="8" t="s">
        <v>2934</v>
      </c>
      <c r="O498" s="149"/>
    </row>
    <row r="499" spans="1:15" s="9" customFormat="1" ht="16.5" customHeight="1">
      <c r="A499" s="2">
        <v>45</v>
      </c>
      <c r="B499" s="3">
        <v>15</v>
      </c>
      <c r="C499" s="3">
        <v>449</v>
      </c>
      <c r="D499" s="3" t="s">
        <v>75</v>
      </c>
      <c r="E499" s="3"/>
      <c r="F499" s="4"/>
      <c r="G499" s="5" t="s">
        <v>1141</v>
      </c>
      <c r="H499" s="4">
        <v>176643</v>
      </c>
      <c r="I499" s="3" t="s">
        <v>2812</v>
      </c>
      <c r="J499" s="3" t="s">
        <v>85</v>
      </c>
      <c r="K499" s="6">
        <v>3</v>
      </c>
      <c r="L499" s="6"/>
      <c r="M499" s="6">
        <f t="shared" si="62"/>
        <v>3</v>
      </c>
      <c r="N499" s="8" t="s">
        <v>2934</v>
      </c>
      <c r="O499" s="149"/>
    </row>
    <row r="500" spans="1:15" s="9" customFormat="1" ht="16.5" customHeight="1">
      <c r="A500" s="2">
        <v>45</v>
      </c>
      <c r="B500" s="3">
        <v>16</v>
      </c>
      <c r="C500" s="3">
        <v>450</v>
      </c>
      <c r="D500" s="3" t="s">
        <v>75</v>
      </c>
      <c r="E500" s="3"/>
      <c r="F500" s="4"/>
      <c r="G500" s="5" t="s">
        <v>1142</v>
      </c>
      <c r="H500" s="4">
        <v>174317</v>
      </c>
      <c r="I500" s="3" t="s">
        <v>2812</v>
      </c>
      <c r="J500" s="3" t="s">
        <v>85</v>
      </c>
      <c r="K500" s="6">
        <v>3</v>
      </c>
      <c r="L500" s="6"/>
      <c r="M500" s="6">
        <f t="shared" si="62"/>
        <v>3</v>
      </c>
      <c r="N500" s="8" t="s">
        <v>2934</v>
      </c>
      <c r="O500" s="149"/>
    </row>
    <row r="501" spans="1:15" s="9" customFormat="1" ht="16.5" customHeight="1">
      <c r="A501" s="2">
        <v>45</v>
      </c>
      <c r="B501" s="3">
        <v>17</v>
      </c>
      <c r="C501" s="3">
        <v>451</v>
      </c>
      <c r="D501" s="3" t="s">
        <v>75</v>
      </c>
      <c r="E501" s="3"/>
      <c r="F501" s="4" t="s">
        <v>1143</v>
      </c>
      <c r="G501" s="5" t="s">
        <v>1144</v>
      </c>
      <c r="H501" s="4" t="s">
        <v>1145</v>
      </c>
      <c r="I501" s="3" t="s">
        <v>2810</v>
      </c>
      <c r="J501" s="3" t="s">
        <v>28</v>
      </c>
      <c r="K501" s="6">
        <v>2</v>
      </c>
      <c r="L501" s="6"/>
      <c r="M501" s="6">
        <f t="shared" si="62"/>
        <v>2</v>
      </c>
      <c r="N501" s="8">
        <v>678050</v>
      </c>
      <c r="O501" s="149"/>
    </row>
    <row r="502" spans="1:15" s="9" customFormat="1" ht="16.5" customHeight="1">
      <c r="A502" s="2">
        <v>45</v>
      </c>
      <c r="B502" s="3">
        <v>18</v>
      </c>
      <c r="C502" s="3">
        <v>452</v>
      </c>
      <c r="D502" s="3" t="s">
        <v>75</v>
      </c>
      <c r="E502" s="3"/>
      <c r="F502" s="4" t="s">
        <v>1146</v>
      </c>
      <c r="G502" s="5" t="s">
        <v>1147</v>
      </c>
      <c r="H502" s="4" t="s">
        <v>1148</v>
      </c>
      <c r="I502" s="3" t="s">
        <v>2810</v>
      </c>
      <c r="J502" s="3" t="s">
        <v>28</v>
      </c>
      <c r="K502" s="6">
        <v>50</v>
      </c>
      <c r="L502" s="6"/>
      <c r="M502" s="6">
        <f t="shared" si="62"/>
        <v>50</v>
      </c>
      <c r="N502" s="8">
        <v>2100</v>
      </c>
      <c r="O502" s="149"/>
    </row>
    <row r="503" spans="1:15" s="9" customFormat="1" ht="16.5" customHeight="1">
      <c r="A503" s="2">
        <v>45</v>
      </c>
      <c r="B503" s="3">
        <v>19</v>
      </c>
      <c r="C503" s="3">
        <v>453</v>
      </c>
      <c r="D503" s="3" t="s">
        <v>75</v>
      </c>
      <c r="E503" s="3"/>
      <c r="F503" s="4" t="s">
        <v>1149</v>
      </c>
      <c r="G503" s="5" t="s">
        <v>1150</v>
      </c>
      <c r="H503" s="4" t="s">
        <v>1151</v>
      </c>
      <c r="I503" s="3" t="s">
        <v>2813</v>
      </c>
      <c r="J503" s="3" t="s">
        <v>85</v>
      </c>
      <c r="K503" s="6">
        <v>400</v>
      </c>
      <c r="L503" s="6">
        <v>6</v>
      </c>
      <c r="M503" s="6">
        <f t="shared" si="62"/>
        <v>406</v>
      </c>
      <c r="N503" s="8">
        <v>8410</v>
      </c>
      <c r="O503" s="149"/>
    </row>
    <row r="504" spans="1:15" s="9" customFormat="1" ht="16.5" customHeight="1">
      <c r="A504" s="2">
        <v>45</v>
      </c>
      <c r="B504" s="3">
        <v>20</v>
      </c>
      <c r="C504" s="3">
        <v>454</v>
      </c>
      <c r="D504" s="3" t="s">
        <v>75</v>
      </c>
      <c r="E504" s="3"/>
      <c r="F504" s="4" t="s">
        <v>1152</v>
      </c>
      <c r="G504" s="5" t="s">
        <v>1153</v>
      </c>
      <c r="H504" s="4" t="s">
        <v>1154</v>
      </c>
      <c r="I504" s="3" t="s">
        <v>2813</v>
      </c>
      <c r="J504" s="3" t="s">
        <v>85</v>
      </c>
      <c r="K504" s="6">
        <v>400</v>
      </c>
      <c r="L504" s="6">
        <v>50</v>
      </c>
      <c r="M504" s="6">
        <f t="shared" si="62"/>
        <v>450</v>
      </c>
      <c r="N504" s="8">
        <v>9230</v>
      </c>
      <c r="O504" s="149"/>
    </row>
    <row r="505" spans="1:15" ht="16.5" customHeight="1">
      <c r="A505" s="13"/>
      <c r="B505" s="14"/>
      <c r="C505" s="14"/>
      <c r="D505" s="14"/>
      <c r="E505" s="14"/>
      <c r="F505" s="15"/>
      <c r="G505" s="16"/>
      <c r="H505" s="15"/>
      <c r="I505" s="15"/>
      <c r="J505" s="14"/>
      <c r="K505" s="157">
        <f>SUM(K485:K504)</f>
        <v>900</v>
      </c>
      <c r="L505" s="157">
        <f t="shared" ref="L505:M505" si="63">SUM(L485:L504)</f>
        <v>179</v>
      </c>
      <c r="M505" s="157">
        <f t="shared" si="63"/>
        <v>1079</v>
      </c>
      <c r="N505" s="17"/>
      <c r="O505" s="145"/>
    </row>
    <row r="506" spans="1:15" ht="16.5" customHeight="1">
      <c r="A506" s="2">
        <v>46</v>
      </c>
      <c r="B506" s="3">
        <v>1</v>
      </c>
      <c r="C506" s="3">
        <v>455</v>
      </c>
      <c r="D506" s="3"/>
      <c r="E506" s="3" t="s">
        <v>2277</v>
      </c>
      <c r="F506" s="4" t="s">
        <v>2278</v>
      </c>
      <c r="G506" s="18" t="s">
        <v>2279</v>
      </c>
      <c r="H506" s="4" t="s">
        <v>84</v>
      </c>
      <c r="I506" s="4" t="s">
        <v>2280</v>
      </c>
      <c r="J506" s="4" t="s">
        <v>2281</v>
      </c>
      <c r="K506" s="6"/>
      <c r="L506" s="6">
        <f>100+50</f>
        <v>150</v>
      </c>
      <c r="M506" s="6">
        <f t="shared" si="62"/>
        <v>150</v>
      </c>
      <c r="N506" s="8">
        <v>186480</v>
      </c>
      <c r="O506" s="144"/>
    </row>
    <row r="507" spans="1:15" ht="16.5" customHeight="1">
      <c r="A507" s="2">
        <v>46</v>
      </c>
      <c r="B507" s="3">
        <v>2</v>
      </c>
      <c r="C507" s="3">
        <v>456</v>
      </c>
      <c r="D507" s="3"/>
      <c r="E507" s="3" t="s">
        <v>1794</v>
      </c>
      <c r="F507" s="4" t="s">
        <v>2282</v>
      </c>
      <c r="G507" s="18" t="s">
        <v>2283</v>
      </c>
      <c r="H507" s="4" t="s">
        <v>84</v>
      </c>
      <c r="I507" s="4" t="s">
        <v>2280</v>
      </c>
      <c r="J507" s="4" t="s">
        <v>2281</v>
      </c>
      <c r="K507" s="6"/>
      <c r="L507" s="6">
        <v>100</v>
      </c>
      <c r="M507" s="6">
        <f t="shared" si="62"/>
        <v>100</v>
      </c>
      <c r="N507" s="8">
        <v>155870</v>
      </c>
      <c r="O507" s="144"/>
    </row>
    <row r="508" spans="1:15" ht="16.5" customHeight="1">
      <c r="A508" s="2">
        <v>46</v>
      </c>
      <c r="B508" s="3">
        <v>3</v>
      </c>
      <c r="C508" s="3">
        <v>457</v>
      </c>
      <c r="D508" s="3"/>
      <c r="E508" s="3" t="s">
        <v>1794</v>
      </c>
      <c r="F508" s="4" t="s">
        <v>2284</v>
      </c>
      <c r="G508" s="18" t="s">
        <v>2285</v>
      </c>
      <c r="H508" s="4" t="s">
        <v>84</v>
      </c>
      <c r="I508" s="4" t="s">
        <v>2280</v>
      </c>
      <c r="J508" s="4" t="s">
        <v>2286</v>
      </c>
      <c r="K508" s="6"/>
      <c r="L508" s="6">
        <v>100</v>
      </c>
      <c r="M508" s="6">
        <f t="shared" si="62"/>
        <v>100</v>
      </c>
      <c r="N508" s="8">
        <v>186480</v>
      </c>
      <c r="O508" s="144"/>
    </row>
    <row r="509" spans="1:15" ht="16.5" customHeight="1">
      <c r="A509" s="2">
        <v>46</v>
      </c>
      <c r="B509" s="3">
        <v>4</v>
      </c>
      <c r="C509" s="3">
        <v>458</v>
      </c>
      <c r="D509" s="3"/>
      <c r="E509" s="3" t="s">
        <v>1794</v>
      </c>
      <c r="F509" s="4"/>
      <c r="G509" s="18" t="s">
        <v>2287</v>
      </c>
      <c r="H509" s="4" t="s">
        <v>84</v>
      </c>
      <c r="I509" s="4" t="s">
        <v>2288</v>
      </c>
      <c r="J509" s="4" t="s">
        <v>2281</v>
      </c>
      <c r="K509" s="6"/>
      <c r="L509" s="6">
        <f>100</f>
        <v>100</v>
      </c>
      <c r="M509" s="6">
        <f t="shared" si="62"/>
        <v>100</v>
      </c>
      <c r="N509" s="8" t="s">
        <v>1700</v>
      </c>
      <c r="O509" s="144"/>
    </row>
    <row r="510" spans="1:15" ht="16.5" customHeight="1">
      <c r="A510" s="13"/>
      <c r="B510" s="14"/>
      <c r="C510" s="14"/>
      <c r="D510" s="14"/>
      <c r="E510" s="14"/>
      <c r="F510" s="15"/>
      <c r="G510" s="16"/>
      <c r="H510" s="15"/>
      <c r="I510" s="15"/>
      <c r="J510" s="14"/>
      <c r="K510" s="157">
        <f>SUM(K506:K509)</f>
        <v>0</v>
      </c>
      <c r="L510" s="157">
        <f t="shared" ref="L510:M510" si="64">SUM(L506:L509)</f>
        <v>450</v>
      </c>
      <c r="M510" s="157">
        <f t="shared" si="64"/>
        <v>450</v>
      </c>
      <c r="N510" s="17"/>
      <c r="O510" s="145"/>
    </row>
    <row r="511" spans="1:15" s="9" customFormat="1" ht="16.5" customHeight="1">
      <c r="A511" s="2">
        <v>47</v>
      </c>
      <c r="B511" s="3">
        <v>1</v>
      </c>
      <c r="C511" s="3">
        <v>459</v>
      </c>
      <c r="D511" s="3" t="s">
        <v>14</v>
      </c>
      <c r="E511" s="3"/>
      <c r="F511" s="4"/>
      <c r="G511" s="5" t="s">
        <v>952</v>
      </c>
      <c r="H511" s="4" t="s">
        <v>953</v>
      </c>
      <c r="I511" s="3" t="s">
        <v>2720</v>
      </c>
      <c r="J511" s="3" t="s">
        <v>954</v>
      </c>
      <c r="K511" s="6">
        <v>150</v>
      </c>
      <c r="L511" s="6"/>
      <c r="M511" s="6">
        <f t="shared" si="62"/>
        <v>150</v>
      </c>
      <c r="N511" s="8" t="s">
        <v>2934</v>
      </c>
      <c r="O511" s="149"/>
    </row>
    <row r="512" spans="1:15" s="9" customFormat="1" ht="16.5" customHeight="1">
      <c r="A512" s="2">
        <v>47</v>
      </c>
      <c r="B512" s="3">
        <v>2</v>
      </c>
      <c r="C512" s="3">
        <v>460</v>
      </c>
      <c r="D512" s="3" t="s">
        <v>14</v>
      </c>
      <c r="E512" s="3"/>
      <c r="F512" s="4"/>
      <c r="G512" s="5" t="s">
        <v>955</v>
      </c>
      <c r="H512" s="4" t="s">
        <v>956</v>
      </c>
      <c r="I512" s="3" t="s">
        <v>2995</v>
      </c>
      <c r="J512" s="3" t="s">
        <v>140</v>
      </c>
      <c r="K512" s="6">
        <v>300</v>
      </c>
      <c r="L512" s="6"/>
      <c r="M512" s="6">
        <f t="shared" si="62"/>
        <v>300</v>
      </c>
      <c r="N512" s="8" t="s">
        <v>2934</v>
      </c>
      <c r="O512" s="149"/>
    </row>
    <row r="513" spans="1:15" s="9" customFormat="1" ht="16.5" customHeight="1">
      <c r="A513" s="2">
        <v>47</v>
      </c>
      <c r="B513" s="3">
        <v>3</v>
      </c>
      <c r="C513" s="3">
        <v>461</v>
      </c>
      <c r="D513" s="3" t="s">
        <v>14</v>
      </c>
      <c r="E513" s="3"/>
      <c r="F513" s="4" t="s">
        <v>957</v>
      </c>
      <c r="G513" s="5" t="s">
        <v>958</v>
      </c>
      <c r="H513" s="4" t="s">
        <v>959</v>
      </c>
      <c r="I513" s="3" t="s">
        <v>2721</v>
      </c>
      <c r="J513" s="3" t="s">
        <v>35</v>
      </c>
      <c r="K513" s="6">
        <v>100</v>
      </c>
      <c r="L513" s="6"/>
      <c r="M513" s="6">
        <f t="shared" si="62"/>
        <v>100</v>
      </c>
      <c r="N513" s="8">
        <v>60500</v>
      </c>
      <c r="O513" s="149"/>
    </row>
    <row r="514" spans="1:15" s="9" customFormat="1" ht="16.5" customHeight="1">
      <c r="A514" s="2">
        <v>47</v>
      </c>
      <c r="B514" s="3">
        <v>4</v>
      </c>
      <c r="C514" s="3">
        <v>462</v>
      </c>
      <c r="D514" s="3" t="s">
        <v>14</v>
      </c>
      <c r="E514" s="3"/>
      <c r="F514" s="4" t="s">
        <v>957</v>
      </c>
      <c r="G514" s="5" t="s">
        <v>960</v>
      </c>
      <c r="H514" s="4" t="s">
        <v>961</v>
      </c>
      <c r="I514" s="3" t="s">
        <v>2721</v>
      </c>
      <c r="J514" s="3" t="s">
        <v>35</v>
      </c>
      <c r="K514" s="6">
        <v>10</v>
      </c>
      <c r="L514" s="6"/>
      <c r="M514" s="6">
        <f t="shared" si="62"/>
        <v>10</v>
      </c>
      <c r="N514" s="8">
        <v>60500</v>
      </c>
      <c r="O514" s="149"/>
    </row>
    <row r="515" spans="1:15" s="9" customFormat="1" ht="16.5" customHeight="1">
      <c r="A515" s="2">
        <v>47</v>
      </c>
      <c r="B515" s="3">
        <v>5</v>
      </c>
      <c r="C515" s="3">
        <v>463</v>
      </c>
      <c r="D515" s="3" t="s">
        <v>14</v>
      </c>
      <c r="E515" s="3"/>
      <c r="F515" s="4" t="s">
        <v>962</v>
      </c>
      <c r="G515" s="5" t="s">
        <v>963</v>
      </c>
      <c r="H515" s="4" t="s">
        <v>964</v>
      </c>
      <c r="I515" s="3" t="s">
        <v>2722</v>
      </c>
      <c r="J515" s="3" t="s">
        <v>35</v>
      </c>
      <c r="K515" s="6">
        <v>1000</v>
      </c>
      <c r="L515" s="6"/>
      <c r="M515" s="6">
        <f t="shared" si="62"/>
        <v>1000</v>
      </c>
      <c r="N515" s="8">
        <v>3090</v>
      </c>
      <c r="O515" s="149"/>
    </row>
    <row r="516" spans="1:15" s="9" customFormat="1" ht="16.5" customHeight="1">
      <c r="A516" s="2">
        <v>47</v>
      </c>
      <c r="B516" s="3">
        <v>6</v>
      </c>
      <c r="C516" s="3">
        <v>464</v>
      </c>
      <c r="D516" s="3" t="s">
        <v>14</v>
      </c>
      <c r="E516" s="3"/>
      <c r="F516" s="4" t="s">
        <v>2920</v>
      </c>
      <c r="G516" s="5" t="s">
        <v>965</v>
      </c>
      <c r="H516" s="4" t="s">
        <v>966</v>
      </c>
      <c r="I516" s="3" t="s">
        <v>2723</v>
      </c>
      <c r="J516" s="3" t="s">
        <v>35</v>
      </c>
      <c r="K516" s="6">
        <v>10000</v>
      </c>
      <c r="L516" s="6"/>
      <c r="M516" s="6">
        <f t="shared" si="62"/>
        <v>10000</v>
      </c>
      <c r="N516" s="8">
        <v>3090</v>
      </c>
      <c r="O516" s="149"/>
    </row>
    <row r="517" spans="1:15" s="9" customFormat="1" ht="16.5" customHeight="1">
      <c r="A517" s="2">
        <v>47</v>
      </c>
      <c r="B517" s="3">
        <v>7</v>
      </c>
      <c r="C517" s="3">
        <v>465</v>
      </c>
      <c r="D517" s="3" t="s">
        <v>315</v>
      </c>
      <c r="E517" s="3"/>
      <c r="F517" s="4"/>
      <c r="G517" s="5" t="s">
        <v>967</v>
      </c>
      <c r="H517" s="4" t="s">
        <v>968</v>
      </c>
      <c r="I517" s="3" t="s">
        <v>2720</v>
      </c>
      <c r="J517" s="3" t="s">
        <v>969</v>
      </c>
      <c r="K517" s="6">
        <v>15</v>
      </c>
      <c r="L517" s="6"/>
      <c r="M517" s="6">
        <f t="shared" ref="M517:M545" si="65">K517+L517</f>
        <v>15</v>
      </c>
      <c r="N517" s="8" t="s">
        <v>2934</v>
      </c>
      <c r="O517" s="149"/>
    </row>
    <row r="518" spans="1:15" s="9" customFormat="1" ht="16.5" customHeight="1">
      <c r="A518" s="2">
        <v>47</v>
      </c>
      <c r="B518" s="3">
        <v>8</v>
      </c>
      <c r="C518" s="3">
        <v>466</v>
      </c>
      <c r="D518" s="3" t="s">
        <v>14</v>
      </c>
      <c r="E518" s="3"/>
      <c r="F518" s="4"/>
      <c r="G518" s="5" t="s">
        <v>970</v>
      </c>
      <c r="H518" s="4" t="s">
        <v>971</v>
      </c>
      <c r="I518" s="3" t="s">
        <v>2724</v>
      </c>
      <c r="J518" s="3" t="s">
        <v>140</v>
      </c>
      <c r="K518" s="6">
        <v>300</v>
      </c>
      <c r="L518" s="6"/>
      <c r="M518" s="6">
        <f t="shared" si="65"/>
        <v>300</v>
      </c>
      <c r="N518" s="8" t="s">
        <v>2934</v>
      </c>
      <c r="O518" s="149"/>
    </row>
    <row r="519" spans="1:15" s="9" customFormat="1" ht="16.5" customHeight="1">
      <c r="A519" s="2">
        <v>47</v>
      </c>
      <c r="B519" s="3">
        <v>9</v>
      </c>
      <c r="C519" s="3">
        <v>467</v>
      </c>
      <c r="D519" s="3" t="s">
        <v>14</v>
      </c>
      <c r="E519" s="3"/>
      <c r="F519" s="4"/>
      <c r="G519" s="5" t="s">
        <v>972</v>
      </c>
      <c r="H519" s="4"/>
      <c r="I519" s="3" t="s">
        <v>2725</v>
      </c>
      <c r="J519" s="3" t="s">
        <v>973</v>
      </c>
      <c r="K519" s="6">
        <v>20</v>
      </c>
      <c r="L519" s="6"/>
      <c r="M519" s="6">
        <f t="shared" si="65"/>
        <v>20</v>
      </c>
      <c r="N519" s="8" t="s">
        <v>2934</v>
      </c>
      <c r="O519" s="149"/>
    </row>
    <row r="520" spans="1:15" s="9" customFormat="1" ht="16.5" customHeight="1">
      <c r="A520" s="2">
        <v>47</v>
      </c>
      <c r="B520" s="3">
        <v>10</v>
      </c>
      <c r="C520" s="3">
        <v>468</v>
      </c>
      <c r="D520" s="3" t="s">
        <v>14</v>
      </c>
      <c r="E520" s="3"/>
      <c r="F520" s="4"/>
      <c r="G520" s="5" t="s">
        <v>974</v>
      </c>
      <c r="H520" s="4"/>
      <c r="I520" s="3" t="s">
        <v>2726</v>
      </c>
      <c r="J520" s="3" t="s">
        <v>975</v>
      </c>
      <c r="K520" s="6">
        <v>50</v>
      </c>
      <c r="L520" s="6"/>
      <c r="M520" s="6">
        <f t="shared" si="65"/>
        <v>50</v>
      </c>
      <c r="N520" s="8" t="s">
        <v>2934</v>
      </c>
      <c r="O520" s="149"/>
    </row>
    <row r="521" spans="1:15" s="9" customFormat="1" ht="16.5" customHeight="1">
      <c r="A521" s="13"/>
      <c r="B521" s="14"/>
      <c r="C521" s="14"/>
      <c r="D521" s="14"/>
      <c r="E521" s="14"/>
      <c r="F521" s="15"/>
      <c r="G521" s="16"/>
      <c r="H521" s="15"/>
      <c r="I521" s="15"/>
      <c r="J521" s="14"/>
      <c r="K521" s="157">
        <f>SUM(K511:K520)</f>
        <v>11945</v>
      </c>
      <c r="L521" s="157">
        <f t="shared" ref="L521:M521" si="66">SUM(L511:L520)</f>
        <v>0</v>
      </c>
      <c r="M521" s="157">
        <f t="shared" si="66"/>
        <v>11945</v>
      </c>
      <c r="N521" s="17"/>
      <c r="O521" s="145"/>
    </row>
    <row r="522" spans="1:15" ht="16.5" customHeight="1">
      <c r="A522" s="2">
        <v>48</v>
      </c>
      <c r="B522" s="3">
        <v>1</v>
      </c>
      <c r="C522" s="3">
        <v>469</v>
      </c>
      <c r="D522" s="3"/>
      <c r="E522" s="3" t="s">
        <v>488</v>
      </c>
      <c r="F522" s="4" t="s">
        <v>2528</v>
      </c>
      <c r="G522" s="18" t="s">
        <v>2526</v>
      </c>
      <c r="H522" s="4" t="s">
        <v>66</v>
      </c>
      <c r="I522" s="4" t="s">
        <v>2527</v>
      </c>
      <c r="J522" s="4" t="s">
        <v>85</v>
      </c>
      <c r="K522" s="6"/>
      <c r="L522" s="6">
        <v>300</v>
      </c>
      <c r="M522" s="6">
        <f t="shared" si="65"/>
        <v>300</v>
      </c>
      <c r="N522" s="8" t="s">
        <v>1701</v>
      </c>
      <c r="O522" s="144"/>
    </row>
    <row r="523" spans="1:15" ht="16.5" customHeight="1">
      <c r="A523" s="2">
        <v>48</v>
      </c>
      <c r="B523" s="3">
        <v>2</v>
      </c>
      <c r="C523" s="3">
        <v>470</v>
      </c>
      <c r="D523" s="3"/>
      <c r="E523" s="3" t="s">
        <v>488</v>
      </c>
      <c r="F523" s="4"/>
      <c r="G523" s="18" t="s">
        <v>2460</v>
      </c>
      <c r="H523" s="4"/>
      <c r="I523" s="4" t="s">
        <v>2461</v>
      </c>
      <c r="J523" s="4" t="s">
        <v>85</v>
      </c>
      <c r="K523" s="6"/>
      <c r="L523" s="6">
        <v>3000</v>
      </c>
      <c r="M523" s="6">
        <f t="shared" si="65"/>
        <v>3000</v>
      </c>
      <c r="N523" s="8" t="s">
        <v>1700</v>
      </c>
      <c r="O523" s="144"/>
    </row>
    <row r="524" spans="1:15" ht="16.5" customHeight="1">
      <c r="A524" s="2">
        <v>48</v>
      </c>
      <c r="B524" s="3">
        <v>3</v>
      </c>
      <c r="C524" s="3">
        <v>471</v>
      </c>
      <c r="D524" s="3"/>
      <c r="E524" s="3" t="s">
        <v>488</v>
      </c>
      <c r="F524" s="4"/>
      <c r="G524" s="18" t="s">
        <v>2462</v>
      </c>
      <c r="H524" s="4" t="s">
        <v>2463</v>
      </c>
      <c r="I524" s="4" t="s">
        <v>2464</v>
      </c>
      <c r="J524" s="4" t="s">
        <v>85</v>
      </c>
      <c r="K524" s="6"/>
      <c r="L524" s="6">
        <v>10</v>
      </c>
      <c r="M524" s="6">
        <f t="shared" si="65"/>
        <v>10</v>
      </c>
      <c r="N524" s="8" t="s">
        <v>1700</v>
      </c>
      <c r="O524" s="144"/>
    </row>
    <row r="525" spans="1:15" ht="16.5" customHeight="1">
      <c r="A525" s="2">
        <v>48</v>
      </c>
      <c r="B525" s="3">
        <v>4</v>
      </c>
      <c r="C525" s="3">
        <v>472</v>
      </c>
      <c r="D525" s="3"/>
      <c r="E525" s="3" t="s">
        <v>488</v>
      </c>
      <c r="F525" s="4"/>
      <c r="G525" s="18" t="s">
        <v>2465</v>
      </c>
      <c r="H525" s="4" t="s">
        <v>2466</v>
      </c>
      <c r="I525" s="4" t="s">
        <v>2464</v>
      </c>
      <c r="J525" s="4" t="s">
        <v>85</v>
      </c>
      <c r="K525" s="6"/>
      <c r="L525" s="6">
        <v>5</v>
      </c>
      <c r="M525" s="6">
        <f t="shared" si="65"/>
        <v>5</v>
      </c>
      <c r="N525" s="8" t="s">
        <v>1700</v>
      </c>
      <c r="O525" s="144"/>
    </row>
    <row r="526" spans="1:15" ht="16.5" customHeight="1">
      <c r="A526" s="2">
        <v>48</v>
      </c>
      <c r="B526" s="3">
        <v>5</v>
      </c>
      <c r="C526" s="3">
        <v>473</v>
      </c>
      <c r="D526" s="3"/>
      <c r="E526" s="3" t="s">
        <v>488</v>
      </c>
      <c r="F526" s="4"/>
      <c r="G526" s="18" t="s">
        <v>2467</v>
      </c>
      <c r="H526" s="4" t="s">
        <v>2468</v>
      </c>
      <c r="I526" s="4" t="s">
        <v>2464</v>
      </c>
      <c r="J526" s="4" t="s">
        <v>85</v>
      </c>
      <c r="K526" s="6"/>
      <c r="L526" s="6">
        <v>1</v>
      </c>
      <c r="M526" s="6">
        <f t="shared" si="65"/>
        <v>1</v>
      </c>
      <c r="N526" s="8" t="s">
        <v>1700</v>
      </c>
      <c r="O526" s="144"/>
    </row>
    <row r="527" spans="1:15" ht="16.5" customHeight="1">
      <c r="A527" s="2">
        <v>48</v>
      </c>
      <c r="B527" s="3">
        <v>6</v>
      </c>
      <c r="C527" s="3">
        <v>474</v>
      </c>
      <c r="D527" s="3"/>
      <c r="E527" s="3" t="s">
        <v>488</v>
      </c>
      <c r="F527" s="4"/>
      <c r="G527" s="18" t="s">
        <v>2469</v>
      </c>
      <c r="H527" s="4" t="s">
        <v>2470</v>
      </c>
      <c r="I527" s="4" t="s">
        <v>2464</v>
      </c>
      <c r="J527" s="4" t="s">
        <v>85</v>
      </c>
      <c r="K527" s="6"/>
      <c r="L527" s="6">
        <v>10</v>
      </c>
      <c r="M527" s="6">
        <f t="shared" si="65"/>
        <v>10</v>
      </c>
      <c r="N527" s="8" t="s">
        <v>1700</v>
      </c>
      <c r="O527" s="144"/>
    </row>
    <row r="528" spans="1:15" ht="16.5" customHeight="1">
      <c r="A528" s="2">
        <v>48</v>
      </c>
      <c r="B528" s="3">
        <v>7</v>
      </c>
      <c r="C528" s="3">
        <v>475</v>
      </c>
      <c r="D528" s="3"/>
      <c r="E528" s="3" t="s">
        <v>488</v>
      </c>
      <c r="F528" s="4"/>
      <c r="G528" s="18" t="s">
        <v>2471</v>
      </c>
      <c r="H528" s="4" t="s">
        <v>2472</v>
      </c>
      <c r="I528" s="4" t="s">
        <v>2464</v>
      </c>
      <c r="J528" s="4" t="s">
        <v>85</v>
      </c>
      <c r="K528" s="6"/>
      <c r="L528" s="6">
        <v>10</v>
      </c>
      <c r="M528" s="6">
        <f t="shared" si="65"/>
        <v>10</v>
      </c>
      <c r="N528" s="8" t="s">
        <v>1700</v>
      </c>
      <c r="O528" s="144"/>
    </row>
    <row r="529" spans="1:15" ht="16.5" customHeight="1">
      <c r="A529" s="2">
        <v>48</v>
      </c>
      <c r="B529" s="3">
        <v>8</v>
      </c>
      <c r="C529" s="3">
        <v>476</v>
      </c>
      <c r="D529" s="3"/>
      <c r="E529" s="3" t="s">
        <v>488</v>
      </c>
      <c r="F529" s="4"/>
      <c r="G529" s="18" t="s">
        <v>2473</v>
      </c>
      <c r="H529" s="4" t="s">
        <v>2474</v>
      </c>
      <c r="I529" s="4" t="s">
        <v>2464</v>
      </c>
      <c r="J529" s="4" t="s">
        <v>85</v>
      </c>
      <c r="K529" s="6"/>
      <c r="L529" s="6">
        <v>10</v>
      </c>
      <c r="M529" s="6">
        <f t="shared" si="65"/>
        <v>10</v>
      </c>
      <c r="N529" s="8" t="s">
        <v>1700</v>
      </c>
      <c r="O529" s="144"/>
    </row>
    <row r="530" spans="1:15" ht="16.5" customHeight="1">
      <c r="A530" s="2">
        <v>48</v>
      </c>
      <c r="B530" s="3">
        <v>9</v>
      </c>
      <c r="C530" s="3">
        <v>477</v>
      </c>
      <c r="D530" s="3"/>
      <c r="E530" s="3" t="s">
        <v>488</v>
      </c>
      <c r="F530" s="4"/>
      <c r="G530" s="18" t="s">
        <v>2475</v>
      </c>
      <c r="H530" s="4" t="s">
        <v>2476</v>
      </c>
      <c r="I530" s="4" t="s">
        <v>2464</v>
      </c>
      <c r="J530" s="4" t="s">
        <v>85</v>
      </c>
      <c r="K530" s="6"/>
      <c r="L530" s="6">
        <v>30</v>
      </c>
      <c r="M530" s="6">
        <f t="shared" si="65"/>
        <v>30</v>
      </c>
      <c r="N530" s="8" t="s">
        <v>1700</v>
      </c>
      <c r="O530" s="144"/>
    </row>
    <row r="531" spans="1:15" ht="16.5" customHeight="1">
      <c r="A531" s="2">
        <v>48</v>
      </c>
      <c r="B531" s="3">
        <v>10</v>
      </c>
      <c r="C531" s="3">
        <v>478</v>
      </c>
      <c r="D531" s="3"/>
      <c r="E531" s="3" t="s">
        <v>488</v>
      </c>
      <c r="F531" s="4"/>
      <c r="G531" s="18" t="s">
        <v>2477</v>
      </c>
      <c r="H531" s="4" t="s">
        <v>2478</v>
      </c>
      <c r="I531" s="4" t="s">
        <v>2464</v>
      </c>
      <c r="J531" s="4" t="s">
        <v>85</v>
      </c>
      <c r="K531" s="6"/>
      <c r="L531" s="6">
        <v>20</v>
      </c>
      <c r="M531" s="6">
        <f t="shared" si="65"/>
        <v>20</v>
      </c>
      <c r="N531" s="8" t="s">
        <v>1700</v>
      </c>
      <c r="O531" s="144"/>
    </row>
    <row r="532" spans="1:15" ht="16.5" customHeight="1">
      <c r="A532" s="2">
        <v>48</v>
      </c>
      <c r="B532" s="3">
        <v>11</v>
      </c>
      <c r="C532" s="3">
        <v>479</v>
      </c>
      <c r="D532" s="3"/>
      <c r="E532" s="3" t="s">
        <v>2076</v>
      </c>
      <c r="F532" s="4" t="s">
        <v>2479</v>
      </c>
      <c r="G532" s="18" t="s">
        <v>2480</v>
      </c>
      <c r="H532" s="4" t="s">
        <v>84</v>
      </c>
      <c r="I532" s="4" t="s">
        <v>2481</v>
      </c>
      <c r="J532" s="4" t="s">
        <v>85</v>
      </c>
      <c r="K532" s="6"/>
      <c r="L532" s="6">
        <f>6000+500</f>
        <v>6500</v>
      </c>
      <c r="M532" s="6">
        <f t="shared" si="65"/>
        <v>6500</v>
      </c>
      <c r="N532" s="8">
        <v>11540</v>
      </c>
      <c r="O532" s="144"/>
    </row>
    <row r="533" spans="1:15" ht="16.5" customHeight="1">
      <c r="A533" s="2">
        <v>48</v>
      </c>
      <c r="B533" s="3">
        <v>12</v>
      </c>
      <c r="C533" s="3">
        <v>480</v>
      </c>
      <c r="D533" s="3"/>
      <c r="E533" s="3" t="s">
        <v>488</v>
      </c>
      <c r="F533" s="4"/>
      <c r="G533" s="18" t="s">
        <v>2482</v>
      </c>
      <c r="H533" s="4" t="s">
        <v>84</v>
      </c>
      <c r="I533" s="4" t="s">
        <v>2483</v>
      </c>
      <c r="J533" s="4" t="s">
        <v>85</v>
      </c>
      <c r="K533" s="6"/>
      <c r="L533" s="6">
        <v>500</v>
      </c>
      <c r="M533" s="6">
        <f t="shared" si="65"/>
        <v>500</v>
      </c>
      <c r="N533" s="8" t="s">
        <v>1700</v>
      </c>
      <c r="O533" s="144"/>
    </row>
    <row r="534" spans="1:15" ht="16.5" customHeight="1">
      <c r="A534" s="2">
        <v>48</v>
      </c>
      <c r="B534" s="3">
        <v>13</v>
      </c>
      <c r="C534" s="3">
        <v>481</v>
      </c>
      <c r="D534" s="3"/>
      <c r="E534" s="3" t="s">
        <v>488</v>
      </c>
      <c r="F534" s="4"/>
      <c r="G534" s="18" t="s">
        <v>2484</v>
      </c>
      <c r="H534" s="4"/>
      <c r="I534" s="4" t="s">
        <v>2485</v>
      </c>
      <c r="J534" s="4" t="s">
        <v>85</v>
      </c>
      <c r="K534" s="6"/>
      <c r="L534" s="6">
        <v>10</v>
      </c>
      <c r="M534" s="6">
        <f t="shared" si="65"/>
        <v>10</v>
      </c>
      <c r="N534" s="8" t="s">
        <v>1700</v>
      </c>
      <c r="O534" s="144"/>
    </row>
    <row r="535" spans="1:15" ht="16.5" customHeight="1">
      <c r="A535" s="2">
        <v>48</v>
      </c>
      <c r="B535" s="3">
        <v>14</v>
      </c>
      <c r="C535" s="3">
        <v>482</v>
      </c>
      <c r="D535" s="3"/>
      <c r="E535" s="3" t="s">
        <v>488</v>
      </c>
      <c r="F535" s="4"/>
      <c r="G535" s="18" t="s">
        <v>2488</v>
      </c>
      <c r="H535" s="4" t="s">
        <v>84</v>
      </c>
      <c r="I535" s="4" t="s">
        <v>2489</v>
      </c>
      <c r="J535" s="4" t="s">
        <v>85</v>
      </c>
      <c r="K535" s="6"/>
      <c r="L535" s="6">
        <v>300</v>
      </c>
      <c r="M535" s="6">
        <f t="shared" si="65"/>
        <v>300</v>
      </c>
      <c r="N535" s="8" t="s">
        <v>1700</v>
      </c>
      <c r="O535" s="144"/>
    </row>
    <row r="536" spans="1:15" ht="16.5" customHeight="1">
      <c r="A536" s="2">
        <v>48</v>
      </c>
      <c r="B536" s="3">
        <v>15</v>
      </c>
      <c r="C536" s="3">
        <v>483</v>
      </c>
      <c r="D536" s="3"/>
      <c r="E536" s="3" t="s">
        <v>488</v>
      </c>
      <c r="F536" s="4" t="s">
        <v>2490</v>
      </c>
      <c r="G536" s="18" t="s">
        <v>2491</v>
      </c>
      <c r="H536" s="4" t="s">
        <v>84</v>
      </c>
      <c r="I536" s="4" t="s">
        <v>2492</v>
      </c>
      <c r="J536" s="4" t="s">
        <v>85</v>
      </c>
      <c r="K536" s="6"/>
      <c r="L536" s="6">
        <v>6</v>
      </c>
      <c r="M536" s="6">
        <f t="shared" si="65"/>
        <v>6</v>
      </c>
      <c r="N536" s="8">
        <v>14540</v>
      </c>
      <c r="O536" s="144"/>
    </row>
    <row r="537" spans="1:15" ht="16.5" customHeight="1">
      <c r="A537" s="2">
        <v>48</v>
      </c>
      <c r="B537" s="3">
        <v>16</v>
      </c>
      <c r="C537" s="3">
        <v>484</v>
      </c>
      <c r="D537" s="3"/>
      <c r="E537" s="3" t="s">
        <v>488</v>
      </c>
      <c r="F537" s="4" t="s">
        <v>2493</v>
      </c>
      <c r="G537" s="18" t="s">
        <v>2494</v>
      </c>
      <c r="H537" s="4" t="s">
        <v>84</v>
      </c>
      <c r="I537" s="4" t="s">
        <v>2495</v>
      </c>
      <c r="J537" s="4" t="s">
        <v>85</v>
      </c>
      <c r="K537" s="6"/>
      <c r="L537" s="6">
        <v>260</v>
      </c>
      <c r="M537" s="6">
        <f t="shared" si="65"/>
        <v>260</v>
      </c>
      <c r="N537" s="8">
        <v>3860</v>
      </c>
      <c r="O537" s="144"/>
    </row>
    <row r="538" spans="1:15" ht="16.5" customHeight="1">
      <c r="A538" s="2">
        <v>48</v>
      </c>
      <c r="B538" s="3">
        <v>17</v>
      </c>
      <c r="C538" s="3">
        <v>485</v>
      </c>
      <c r="D538" s="3"/>
      <c r="E538" s="3" t="s">
        <v>488</v>
      </c>
      <c r="F538" s="4"/>
      <c r="G538" s="18" t="s">
        <v>2496</v>
      </c>
      <c r="H538" s="4" t="s">
        <v>2497</v>
      </c>
      <c r="I538" s="4" t="s">
        <v>1930</v>
      </c>
      <c r="J538" s="4" t="s">
        <v>85</v>
      </c>
      <c r="K538" s="6"/>
      <c r="L538" s="6">
        <v>500</v>
      </c>
      <c r="M538" s="6">
        <f t="shared" si="65"/>
        <v>500</v>
      </c>
      <c r="N538" s="8" t="s">
        <v>1700</v>
      </c>
      <c r="O538" s="144"/>
    </row>
    <row r="539" spans="1:15" ht="16.5" customHeight="1">
      <c r="A539" s="2">
        <v>48</v>
      </c>
      <c r="B539" s="3">
        <v>18</v>
      </c>
      <c r="C539" s="3">
        <v>486</v>
      </c>
      <c r="D539" s="3"/>
      <c r="E539" s="3" t="s">
        <v>488</v>
      </c>
      <c r="F539" s="4"/>
      <c r="G539" s="18" t="s">
        <v>2498</v>
      </c>
      <c r="H539" s="4" t="s">
        <v>2499</v>
      </c>
      <c r="I539" s="4" t="s">
        <v>1934</v>
      </c>
      <c r="J539" s="4" t="s">
        <v>85</v>
      </c>
      <c r="K539" s="6"/>
      <c r="L539" s="6">
        <v>10</v>
      </c>
      <c r="M539" s="6">
        <f t="shared" si="65"/>
        <v>10</v>
      </c>
      <c r="N539" s="8" t="s">
        <v>1700</v>
      </c>
      <c r="O539" s="144"/>
    </row>
    <row r="540" spans="1:15" ht="16.5" customHeight="1">
      <c r="A540" s="2">
        <v>48</v>
      </c>
      <c r="B540" s="3">
        <v>19</v>
      </c>
      <c r="C540" s="3">
        <v>487</v>
      </c>
      <c r="D540" s="3"/>
      <c r="E540" s="3" t="s">
        <v>488</v>
      </c>
      <c r="F540" s="4"/>
      <c r="G540" s="18" t="s">
        <v>2500</v>
      </c>
      <c r="H540" s="4"/>
      <c r="I540" s="4" t="s">
        <v>2501</v>
      </c>
      <c r="J540" s="4" t="s">
        <v>85</v>
      </c>
      <c r="K540" s="6"/>
      <c r="L540" s="6">
        <v>50</v>
      </c>
      <c r="M540" s="6">
        <f t="shared" si="65"/>
        <v>50</v>
      </c>
      <c r="N540" s="8" t="s">
        <v>2502</v>
      </c>
      <c r="O540" s="144"/>
    </row>
    <row r="541" spans="1:15" ht="16.5" customHeight="1">
      <c r="A541" s="2">
        <v>48</v>
      </c>
      <c r="B541" s="3">
        <v>20</v>
      </c>
      <c r="C541" s="3">
        <v>488</v>
      </c>
      <c r="D541" s="3"/>
      <c r="E541" s="3" t="s">
        <v>488</v>
      </c>
      <c r="F541" s="4" t="s">
        <v>2503</v>
      </c>
      <c r="G541" s="18" t="s">
        <v>2504</v>
      </c>
      <c r="H541" s="4" t="s">
        <v>84</v>
      </c>
      <c r="I541" s="4" t="s">
        <v>2505</v>
      </c>
      <c r="J541" s="4" t="s">
        <v>85</v>
      </c>
      <c r="K541" s="6"/>
      <c r="L541" s="6">
        <v>10</v>
      </c>
      <c r="M541" s="6">
        <f t="shared" si="65"/>
        <v>10</v>
      </c>
      <c r="N541" s="8">
        <v>4880</v>
      </c>
      <c r="O541" s="144"/>
    </row>
    <row r="542" spans="1:15" ht="16.5" customHeight="1">
      <c r="A542" s="2">
        <v>48</v>
      </c>
      <c r="B542" s="3">
        <v>21</v>
      </c>
      <c r="C542" s="3">
        <v>489</v>
      </c>
      <c r="D542" s="3"/>
      <c r="E542" s="3" t="s">
        <v>488</v>
      </c>
      <c r="F542" s="4"/>
      <c r="G542" s="18" t="s">
        <v>2506</v>
      </c>
      <c r="H542" s="4"/>
      <c r="I542" s="4" t="s">
        <v>2507</v>
      </c>
      <c r="J542" s="4" t="s">
        <v>85</v>
      </c>
      <c r="K542" s="6"/>
      <c r="L542" s="6">
        <v>400</v>
      </c>
      <c r="M542" s="6">
        <f t="shared" si="65"/>
        <v>400</v>
      </c>
      <c r="N542" s="8" t="s">
        <v>1700</v>
      </c>
      <c r="O542" s="144"/>
    </row>
    <row r="543" spans="1:15" ht="16.5" customHeight="1">
      <c r="A543" s="2">
        <v>48</v>
      </c>
      <c r="B543" s="3">
        <v>22</v>
      </c>
      <c r="C543" s="3">
        <v>490</v>
      </c>
      <c r="D543" s="3"/>
      <c r="E543" s="3" t="s">
        <v>2072</v>
      </c>
      <c r="F543" s="4" t="s">
        <v>2508</v>
      </c>
      <c r="G543" s="18" t="s">
        <v>2509</v>
      </c>
      <c r="H543" s="4" t="s">
        <v>2510</v>
      </c>
      <c r="I543" s="4" t="s">
        <v>2511</v>
      </c>
      <c r="J543" s="4" t="s">
        <v>85</v>
      </c>
      <c r="K543" s="6"/>
      <c r="L543" s="6">
        <v>15</v>
      </c>
      <c r="M543" s="6">
        <f t="shared" si="65"/>
        <v>15</v>
      </c>
      <c r="N543" s="8">
        <v>31790</v>
      </c>
      <c r="O543" s="144"/>
    </row>
    <row r="544" spans="1:15" ht="16.5" customHeight="1">
      <c r="A544" s="2">
        <v>48</v>
      </c>
      <c r="B544" s="3">
        <v>23</v>
      </c>
      <c r="C544" s="3">
        <v>491</v>
      </c>
      <c r="D544" s="3"/>
      <c r="E544" s="3" t="s">
        <v>2072</v>
      </c>
      <c r="F544" s="4" t="s">
        <v>2512</v>
      </c>
      <c r="G544" s="18" t="s">
        <v>2513</v>
      </c>
      <c r="H544" s="4" t="s">
        <v>2514</v>
      </c>
      <c r="I544" s="4" t="s">
        <v>2511</v>
      </c>
      <c r="J544" s="4" t="s">
        <v>85</v>
      </c>
      <c r="K544" s="6"/>
      <c r="L544" s="6">
        <v>15</v>
      </c>
      <c r="M544" s="6">
        <f t="shared" si="65"/>
        <v>15</v>
      </c>
      <c r="N544" s="8">
        <v>54000</v>
      </c>
      <c r="O544" s="144"/>
    </row>
    <row r="545" spans="1:15" ht="16.5" customHeight="1">
      <c r="A545" s="2">
        <v>48</v>
      </c>
      <c r="B545" s="3">
        <v>24</v>
      </c>
      <c r="C545" s="3">
        <v>492</v>
      </c>
      <c r="D545" s="3"/>
      <c r="E545" s="3" t="s">
        <v>2515</v>
      </c>
      <c r="F545" s="4" t="s">
        <v>2516</v>
      </c>
      <c r="G545" s="18" t="s">
        <v>2517</v>
      </c>
      <c r="H545" s="4" t="s">
        <v>84</v>
      </c>
      <c r="I545" s="4" t="s">
        <v>2518</v>
      </c>
      <c r="J545" s="4" t="s">
        <v>85</v>
      </c>
      <c r="K545" s="6"/>
      <c r="L545" s="6">
        <v>5</v>
      </c>
      <c r="M545" s="6">
        <f t="shared" si="65"/>
        <v>5</v>
      </c>
      <c r="N545" s="8">
        <v>7030</v>
      </c>
      <c r="O545" s="144"/>
    </row>
    <row r="546" spans="1:15" ht="16.5" customHeight="1">
      <c r="A546" s="13"/>
      <c r="B546" s="14"/>
      <c r="C546" s="14"/>
      <c r="D546" s="14"/>
      <c r="E546" s="14"/>
      <c r="F546" s="15"/>
      <c r="G546" s="16"/>
      <c r="H546" s="15"/>
      <c r="I546" s="15"/>
      <c r="J546" s="14"/>
      <c r="K546" s="157">
        <f>SUM(K522:K545)</f>
        <v>0</v>
      </c>
      <c r="L546" s="157">
        <f t="shared" ref="L546:M546" si="67">SUM(L522:L545)</f>
        <v>11977</v>
      </c>
      <c r="M546" s="157">
        <f t="shared" si="67"/>
        <v>11977</v>
      </c>
      <c r="N546" s="17"/>
      <c r="O546" s="145"/>
    </row>
    <row r="547" spans="1:15" ht="16.5" customHeight="1">
      <c r="A547" s="2">
        <v>49</v>
      </c>
      <c r="B547" s="3">
        <v>1</v>
      </c>
      <c r="C547" s="3">
        <v>493</v>
      </c>
      <c r="D547" s="3"/>
      <c r="E547" s="3" t="s">
        <v>488</v>
      </c>
      <c r="F547" s="4"/>
      <c r="G547" s="18" t="s">
        <v>2437</v>
      </c>
      <c r="H547" s="4" t="s">
        <v>2438</v>
      </c>
      <c r="I547" s="4" t="s">
        <v>1617</v>
      </c>
      <c r="J547" s="4" t="s">
        <v>85</v>
      </c>
      <c r="K547" s="6"/>
      <c r="L547" s="6">
        <v>150</v>
      </c>
      <c r="M547" s="6">
        <f t="shared" ref="M547:M561" si="68">K547+L547</f>
        <v>150</v>
      </c>
      <c r="N547" s="8" t="s">
        <v>1700</v>
      </c>
      <c r="O547" s="144"/>
    </row>
    <row r="548" spans="1:15" ht="16.5" customHeight="1">
      <c r="A548" s="2">
        <v>49</v>
      </c>
      <c r="B548" s="3">
        <v>2</v>
      </c>
      <c r="C548" s="3">
        <v>494</v>
      </c>
      <c r="D548" s="3"/>
      <c r="E548" s="3" t="s">
        <v>488</v>
      </c>
      <c r="F548" s="4"/>
      <c r="G548" s="18" t="s">
        <v>2439</v>
      </c>
      <c r="H548" s="4" t="s">
        <v>2440</v>
      </c>
      <c r="I548" s="4" t="s">
        <v>1617</v>
      </c>
      <c r="J548" s="4" t="s">
        <v>85</v>
      </c>
      <c r="K548" s="6"/>
      <c r="L548" s="6">
        <v>50</v>
      </c>
      <c r="M548" s="6">
        <f t="shared" si="68"/>
        <v>50</v>
      </c>
      <c r="N548" s="8" t="s">
        <v>1700</v>
      </c>
      <c r="O548" s="144"/>
    </row>
    <row r="549" spans="1:15" ht="16.5" customHeight="1">
      <c r="A549" s="2">
        <v>49</v>
      </c>
      <c r="B549" s="3">
        <v>3</v>
      </c>
      <c r="C549" s="3">
        <v>495</v>
      </c>
      <c r="D549" s="3"/>
      <c r="E549" s="3" t="s">
        <v>488</v>
      </c>
      <c r="F549" s="4"/>
      <c r="G549" s="18" t="s">
        <v>2441</v>
      </c>
      <c r="H549" s="4" t="s">
        <v>2442</v>
      </c>
      <c r="I549" s="4" t="s">
        <v>2443</v>
      </c>
      <c r="J549" s="4" t="s">
        <v>85</v>
      </c>
      <c r="K549" s="6"/>
      <c r="L549" s="6">
        <v>12</v>
      </c>
      <c r="M549" s="6">
        <f t="shared" si="68"/>
        <v>12</v>
      </c>
      <c r="N549" s="8" t="s">
        <v>1700</v>
      </c>
      <c r="O549" s="144"/>
    </row>
    <row r="550" spans="1:15" ht="16.5" customHeight="1">
      <c r="A550" s="2">
        <v>49</v>
      </c>
      <c r="B550" s="3">
        <v>4</v>
      </c>
      <c r="C550" s="3">
        <v>496</v>
      </c>
      <c r="D550" s="3"/>
      <c r="E550" s="3" t="s">
        <v>488</v>
      </c>
      <c r="F550" s="4"/>
      <c r="G550" s="18" t="s">
        <v>2441</v>
      </c>
      <c r="H550" s="4" t="s">
        <v>1030</v>
      </c>
      <c r="I550" s="4" t="s">
        <v>2443</v>
      </c>
      <c r="J550" s="4" t="s">
        <v>85</v>
      </c>
      <c r="K550" s="6"/>
      <c r="L550" s="6">
        <v>1200</v>
      </c>
      <c r="M550" s="6">
        <f t="shared" si="68"/>
        <v>1200</v>
      </c>
      <c r="N550" s="8" t="s">
        <v>1700</v>
      </c>
      <c r="O550" s="144"/>
    </row>
    <row r="551" spans="1:15" ht="16.5" customHeight="1">
      <c r="A551" s="2">
        <v>49</v>
      </c>
      <c r="B551" s="3">
        <v>5</v>
      </c>
      <c r="C551" s="3">
        <v>497</v>
      </c>
      <c r="D551" s="3"/>
      <c r="E551" s="3" t="s">
        <v>488</v>
      </c>
      <c r="F551" s="4"/>
      <c r="G551" s="18" t="s">
        <v>2444</v>
      </c>
      <c r="H551" s="4" t="s">
        <v>2445</v>
      </c>
      <c r="I551" s="4" t="s">
        <v>1617</v>
      </c>
      <c r="J551" s="4" t="s">
        <v>85</v>
      </c>
      <c r="K551" s="6"/>
      <c r="L551" s="6">
        <v>500</v>
      </c>
      <c r="M551" s="6">
        <f t="shared" si="68"/>
        <v>500</v>
      </c>
      <c r="N551" s="8" t="s">
        <v>1700</v>
      </c>
      <c r="O551" s="144"/>
    </row>
    <row r="552" spans="1:15" ht="16.5" customHeight="1">
      <c r="A552" s="2">
        <v>49</v>
      </c>
      <c r="B552" s="3">
        <v>6</v>
      </c>
      <c r="C552" s="3">
        <v>498</v>
      </c>
      <c r="D552" s="3"/>
      <c r="E552" s="3" t="s">
        <v>2062</v>
      </c>
      <c r="F552" s="4"/>
      <c r="G552" s="18" t="s">
        <v>2446</v>
      </c>
      <c r="H552" s="4" t="s">
        <v>660</v>
      </c>
      <c r="I552" s="4" t="s">
        <v>2447</v>
      </c>
      <c r="J552" s="4" t="s">
        <v>85</v>
      </c>
      <c r="K552" s="6"/>
      <c r="L552" s="6">
        <f>200+166</f>
        <v>366</v>
      </c>
      <c r="M552" s="6">
        <f t="shared" si="68"/>
        <v>366</v>
      </c>
      <c r="N552" s="8" t="s">
        <v>1700</v>
      </c>
      <c r="O552" s="144"/>
    </row>
    <row r="553" spans="1:15" ht="16.5" customHeight="1">
      <c r="A553" s="2">
        <v>49</v>
      </c>
      <c r="B553" s="3">
        <v>7</v>
      </c>
      <c r="C553" s="3">
        <v>499</v>
      </c>
      <c r="D553" s="3"/>
      <c r="E553" s="3" t="s">
        <v>2448</v>
      </c>
      <c r="F553" s="4"/>
      <c r="G553" s="18" t="s">
        <v>2449</v>
      </c>
      <c r="H553" s="4" t="s">
        <v>2348</v>
      </c>
      <c r="I553" s="4" t="s">
        <v>484</v>
      </c>
      <c r="J553" s="4" t="s">
        <v>85</v>
      </c>
      <c r="K553" s="6"/>
      <c r="L553" s="6">
        <f>16+12</f>
        <v>28</v>
      </c>
      <c r="M553" s="6">
        <f t="shared" si="68"/>
        <v>28</v>
      </c>
      <c r="N553" s="8" t="s">
        <v>1700</v>
      </c>
      <c r="O553" s="144"/>
    </row>
    <row r="554" spans="1:15" ht="16.5" customHeight="1">
      <c r="A554" s="2">
        <v>49</v>
      </c>
      <c r="B554" s="3">
        <v>8</v>
      </c>
      <c r="C554" s="3">
        <v>500</v>
      </c>
      <c r="D554" s="3"/>
      <c r="E554" s="3" t="s">
        <v>2062</v>
      </c>
      <c r="F554" s="4"/>
      <c r="G554" s="18" t="s">
        <v>2450</v>
      </c>
      <c r="H554" s="4" t="s">
        <v>2451</v>
      </c>
      <c r="I554" s="4" t="s">
        <v>2447</v>
      </c>
      <c r="J554" s="4" t="s">
        <v>1271</v>
      </c>
      <c r="K554" s="6"/>
      <c r="L554" s="6">
        <f>6+10</f>
        <v>16</v>
      </c>
      <c r="M554" s="6">
        <f t="shared" si="68"/>
        <v>16</v>
      </c>
      <c r="N554" s="8" t="s">
        <v>1700</v>
      </c>
      <c r="O554" s="144"/>
    </row>
    <row r="555" spans="1:15" ht="16.5" customHeight="1">
      <c r="A555" s="2">
        <v>49</v>
      </c>
      <c r="B555" s="3">
        <v>9</v>
      </c>
      <c r="C555" s="3">
        <v>501</v>
      </c>
      <c r="D555" s="3" t="s">
        <v>1065</v>
      </c>
      <c r="E555" s="3"/>
      <c r="F555" s="4"/>
      <c r="G555" s="18" t="s">
        <v>1616</v>
      </c>
      <c r="H555" s="4" t="s">
        <v>695</v>
      </c>
      <c r="I555" s="4" t="s">
        <v>1617</v>
      </c>
      <c r="J555" s="4" t="s">
        <v>79</v>
      </c>
      <c r="K555" s="6">
        <v>300</v>
      </c>
      <c r="L555" s="6"/>
      <c r="M555" s="6">
        <f t="shared" si="68"/>
        <v>300</v>
      </c>
      <c r="N555" s="8" t="s">
        <v>19</v>
      </c>
      <c r="O555" s="144"/>
    </row>
    <row r="556" spans="1:15" ht="16.5" customHeight="1">
      <c r="A556" s="2">
        <v>49</v>
      </c>
      <c r="B556" s="3">
        <v>10</v>
      </c>
      <c r="C556" s="3">
        <v>502</v>
      </c>
      <c r="D556" s="3" t="s">
        <v>2913</v>
      </c>
      <c r="E556" s="3"/>
      <c r="F556" s="4"/>
      <c r="G556" s="18" t="s">
        <v>1618</v>
      </c>
      <c r="H556" s="4" t="s">
        <v>695</v>
      </c>
      <c r="I556" s="4" t="s">
        <v>1617</v>
      </c>
      <c r="J556" s="4" t="s">
        <v>79</v>
      </c>
      <c r="K556" s="6">
        <v>400</v>
      </c>
      <c r="L556" s="6"/>
      <c r="M556" s="6">
        <f t="shared" si="68"/>
        <v>400</v>
      </c>
      <c r="N556" s="8" t="s">
        <v>19</v>
      </c>
      <c r="O556" s="144"/>
    </row>
    <row r="557" spans="1:15" ht="16.5" customHeight="1">
      <c r="A557" s="2">
        <v>49</v>
      </c>
      <c r="B557" s="3">
        <v>11</v>
      </c>
      <c r="C557" s="3">
        <v>503</v>
      </c>
      <c r="D557" s="3" t="s">
        <v>2914</v>
      </c>
      <c r="E557" s="3"/>
      <c r="F557" s="4"/>
      <c r="G557" s="18" t="s">
        <v>1619</v>
      </c>
      <c r="H557" s="4" t="s">
        <v>695</v>
      </c>
      <c r="I557" s="4" t="s">
        <v>1620</v>
      </c>
      <c r="J557" s="4" t="s">
        <v>85</v>
      </c>
      <c r="K557" s="6">
        <v>20</v>
      </c>
      <c r="L557" s="6"/>
      <c r="M557" s="6">
        <f t="shared" si="68"/>
        <v>20</v>
      </c>
      <c r="N557" s="8" t="s">
        <v>19</v>
      </c>
      <c r="O557" s="144"/>
    </row>
    <row r="558" spans="1:15" ht="16.5" customHeight="1">
      <c r="A558" s="2">
        <v>49</v>
      </c>
      <c r="B558" s="3">
        <v>12</v>
      </c>
      <c r="C558" s="3">
        <v>504</v>
      </c>
      <c r="D558" s="3" t="s">
        <v>2914</v>
      </c>
      <c r="E558" s="3"/>
      <c r="F558" s="4"/>
      <c r="G558" s="18" t="s">
        <v>1621</v>
      </c>
      <c r="H558" s="4" t="s">
        <v>1622</v>
      </c>
      <c r="I558" s="4" t="s">
        <v>1623</v>
      </c>
      <c r="J558" s="4" t="s">
        <v>28</v>
      </c>
      <c r="K558" s="6">
        <v>300</v>
      </c>
      <c r="L558" s="6"/>
      <c r="M558" s="6">
        <f t="shared" si="68"/>
        <v>300</v>
      </c>
      <c r="N558" s="8" t="s">
        <v>19</v>
      </c>
      <c r="O558" s="144"/>
    </row>
    <row r="559" spans="1:15" ht="16.5" customHeight="1">
      <c r="A559" s="2">
        <v>49</v>
      </c>
      <c r="B559" s="3">
        <v>13</v>
      </c>
      <c r="C559" s="3">
        <v>505</v>
      </c>
      <c r="D559" s="3" t="s">
        <v>2914</v>
      </c>
      <c r="E559" s="3"/>
      <c r="F559" s="4"/>
      <c r="G559" s="18" t="s">
        <v>1624</v>
      </c>
      <c r="H559" s="4" t="s">
        <v>1625</v>
      </c>
      <c r="I559" s="4" t="s">
        <v>1623</v>
      </c>
      <c r="J559" s="4" t="s">
        <v>28</v>
      </c>
      <c r="K559" s="6">
        <v>1500</v>
      </c>
      <c r="L559" s="6"/>
      <c r="M559" s="6">
        <f t="shared" si="68"/>
        <v>1500</v>
      </c>
      <c r="N559" s="8" t="s">
        <v>19</v>
      </c>
      <c r="O559" s="144"/>
    </row>
    <row r="560" spans="1:15" ht="16.5" customHeight="1">
      <c r="A560" s="2">
        <v>49</v>
      </c>
      <c r="B560" s="3">
        <v>14</v>
      </c>
      <c r="C560" s="3">
        <v>506</v>
      </c>
      <c r="D560" s="3" t="s">
        <v>2915</v>
      </c>
      <c r="E560" s="3"/>
      <c r="F560" s="4"/>
      <c r="G560" s="18" t="s">
        <v>1626</v>
      </c>
      <c r="H560" s="4" t="s">
        <v>1627</v>
      </c>
      <c r="I560" s="4" t="s">
        <v>1628</v>
      </c>
      <c r="J560" s="4" t="s">
        <v>1629</v>
      </c>
      <c r="K560" s="6">
        <v>3</v>
      </c>
      <c r="L560" s="6"/>
      <c r="M560" s="6">
        <f t="shared" si="68"/>
        <v>3</v>
      </c>
      <c r="N560" s="8" t="s">
        <v>2934</v>
      </c>
      <c r="O560" s="144" t="s">
        <v>3018</v>
      </c>
    </row>
    <row r="561" spans="1:15" ht="16.5" customHeight="1">
      <c r="A561" s="2">
        <v>49</v>
      </c>
      <c r="B561" s="3">
        <v>15</v>
      </c>
      <c r="C561" s="3">
        <v>507</v>
      </c>
      <c r="D561" s="3" t="s">
        <v>2915</v>
      </c>
      <c r="E561" s="3"/>
      <c r="F561" s="4"/>
      <c r="G561" s="18" t="s">
        <v>1626</v>
      </c>
      <c r="H561" s="4" t="s">
        <v>1630</v>
      </c>
      <c r="I561" s="4" t="s">
        <v>1628</v>
      </c>
      <c r="J561" s="4" t="s">
        <v>1631</v>
      </c>
      <c r="K561" s="6">
        <v>3</v>
      </c>
      <c r="L561" s="6"/>
      <c r="M561" s="6">
        <f t="shared" si="68"/>
        <v>3</v>
      </c>
      <c r="N561" s="8" t="s">
        <v>2934</v>
      </c>
      <c r="O561" s="144" t="s">
        <v>3018</v>
      </c>
    </row>
    <row r="562" spans="1:15" ht="16.5" customHeight="1">
      <c r="A562" s="13"/>
      <c r="B562" s="14"/>
      <c r="C562" s="14"/>
      <c r="D562" s="14"/>
      <c r="E562" s="14"/>
      <c r="F562" s="15"/>
      <c r="G562" s="16"/>
      <c r="H562" s="15"/>
      <c r="I562" s="15"/>
      <c r="J562" s="14"/>
      <c r="K562" s="157">
        <f>SUM(K547:K561)</f>
        <v>2526</v>
      </c>
      <c r="L562" s="157">
        <f t="shared" ref="L562:M562" si="69">SUM(L547:L561)</f>
        <v>2322</v>
      </c>
      <c r="M562" s="157">
        <f t="shared" si="69"/>
        <v>4848</v>
      </c>
      <c r="N562" s="17"/>
      <c r="O562" s="145"/>
    </row>
    <row r="563" spans="1:15" ht="16.5" customHeight="1">
      <c r="A563" s="2">
        <v>50</v>
      </c>
      <c r="B563" s="3">
        <v>1</v>
      </c>
      <c r="C563" s="3">
        <v>508</v>
      </c>
      <c r="D563" s="3"/>
      <c r="E563" s="3" t="s">
        <v>488</v>
      </c>
      <c r="F563" s="4"/>
      <c r="G563" s="18" t="s">
        <v>2296</v>
      </c>
      <c r="H563" s="4" t="s">
        <v>2297</v>
      </c>
      <c r="I563" s="4" t="s">
        <v>2298</v>
      </c>
      <c r="J563" s="4" t="s">
        <v>85</v>
      </c>
      <c r="K563" s="6"/>
      <c r="L563" s="6">
        <v>1</v>
      </c>
      <c r="M563" s="6">
        <f t="shared" ref="M563:M573" si="70">K563+L563</f>
        <v>1</v>
      </c>
      <c r="N563" s="8" t="s">
        <v>1700</v>
      </c>
      <c r="O563" s="144"/>
    </row>
    <row r="564" spans="1:15" ht="16.5" customHeight="1">
      <c r="A564" s="2">
        <v>50</v>
      </c>
      <c r="B564" s="3">
        <v>2</v>
      </c>
      <c r="C564" s="3">
        <v>509</v>
      </c>
      <c r="D564" s="3"/>
      <c r="E564" s="3" t="s">
        <v>488</v>
      </c>
      <c r="F564" s="4"/>
      <c r="G564" s="18" t="s">
        <v>2299</v>
      </c>
      <c r="H564" s="4" t="s">
        <v>2300</v>
      </c>
      <c r="I564" s="4" t="s">
        <v>2298</v>
      </c>
      <c r="J564" s="4" t="s">
        <v>85</v>
      </c>
      <c r="K564" s="6"/>
      <c r="L564" s="6">
        <v>1</v>
      </c>
      <c r="M564" s="6">
        <f t="shared" si="70"/>
        <v>1</v>
      </c>
      <c r="N564" s="8" t="s">
        <v>1700</v>
      </c>
      <c r="O564" s="144"/>
    </row>
    <row r="565" spans="1:15" ht="16.5" customHeight="1">
      <c r="A565" s="2">
        <v>50</v>
      </c>
      <c r="B565" s="3">
        <v>3</v>
      </c>
      <c r="C565" s="3">
        <v>510</v>
      </c>
      <c r="D565" s="3"/>
      <c r="E565" s="3" t="s">
        <v>488</v>
      </c>
      <c r="F565" s="4"/>
      <c r="G565" s="18" t="s">
        <v>2301</v>
      </c>
      <c r="H565" s="4" t="s">
        <v>2302</v>
      </c>
      <c r="I565" s="4" t="s">
        <v>2298</v>
      </c>
      <c r="J565" s="4" t="s">
        <v>85</v>
      </c>
      <c r="K565" s="6"/>
      <c r="L565" s="6">
        <v>1</v>
      </c>
      <c r="M565" s="6">
        <f t="shared" si="70"/>
        <v>1</v>
      </c>
      <c r="N565" s="8" t="s">
        <v>1700</v>
      </c>
      <c r="O565" s="144"/>
    </row>
    <row r="566" spans="1:15" ht="16.5" customHeight="1">
      <c r="A566" s="2">
        <v>50</v>
      </c>
      <c r="B566" s="3">
        <v>4</v>
      </c>
      <c r="C566" s="3">
        <v>511</v>
      </c>
      <c r="D566" s="3"/>
      <c r="E566" s="3" t="s">
        <v>488</v>
      </c>
      <c r="F566" s="4"/>
      <c r="G566" s="18" t="s">
        <v>2303</v>
      </c>
      <c r="H566" s="4">
        <v>5500</v>
      </c>
      <c r="I566" s="4" t="s">
        <v>2304</v>
      </c>
      <c r="J566" s="4" t="s">
        <v>85</v>
      </c>
      <c r="K566" s="6"/>
      <c r="L566" s="6">
        <v>6</v>
      </c>
      <c r="M566" s="6">
        <f t="shared" si="70"/>
        <v>6</v>
      </c>
      <c r="N566" s="8" t="s">
        <v>1700</v>
      </c>
      <c r="O566" s="144"/>
    </row>
    <row r="567" spans="1:15" ht="16.5" customHeight="1">
      <c r="A567" s="2">
        <v>50</v>
      </c>
      <c r="B567" s="3">
        <v>5</v>
      </c>
      <c r="C567" s="3">
        <v>512</v>
      </c>
      <c r="D567" s="3"/>
      <c r="E567" s="3" t="s">
        <v>488</v>
      </c>
      <c r="F567" s="4"/>
      <c r="G567" s="18" t="s">
        <v>2305</v>
      </c>
      <c r="H567" s="4" t="s">
        <v>2306</v>
      </c>
      <c r="I567" s="4" t="s">
        <v>2304</v>
      </c>
      <c r="J567" s="4" t="s">
        <v>85</v>
      </c>
      <c r="K567" s="6"/>
      <c r="L567" s="6">
        <v>2</v>
      </c>
      <c r="M567" s="6">
        <f t="shared" si="70"/>
        <v>2</v>
      </c>
      <c r="N567" s="8" t="s">
        <v>1700</v>
      </c>
      <c r="O567" s="144"/>
    </row>
    <row r="568" spans="1:15" ht="16.5" customHeight="1">
      <c r="A568" s="2">
        <v>50</v>
      </c>
      <c r="B568" s="3">
        <v>6</v>
      </c>
      <c r="C568" s="3">
        <v>513</v>
      </c>
      <c r="D568" s="3"/>
      <c r="E568" s="3" t="s">
        <v>2062</v>
      </c>
      <c r="F568" s="4"/>
      <c r="G568" s="18" t="s">
        <v>2307</v>
      </c>
      <c r="H568" s="4" t="s">
        <v>2308</v>
      </c>
      <c r="I568" s="4" t="s">
        <v>2309</v>
      </c>
      <c r="J568" s="4" t="s">
        <v>1271</v>
      </c>
      <c r="K568" s="6"/>
      <c r="L568" s="6">
        <f>30+40</f>
        <v>70</v>
      </c>
      <c r="M568" s="6">
        <f t="shared" si="70"/>
        <v>70</v>
      </c>
      <c r="N568" s="8" t="s">
        <v>1700</v>
      </c>
      <c r="O568" s="144"/>
    </row>
    <row r="569" spans="1:15" ht="16.5" customHeight="1">
      <c r="A569" s="2">
        <v>50</v>
      </c>
      <c r="B569" s="3">
        <v>7</v>
      </c>
      <c r="C569" s="3">
        <v>514</v>
      </c>
      <c r="D569" s="3"/>
      <c r="E569" s="3" t="s">
        <v>2310</v>
      </c>
      <c r="F569" s="4"/>
      <c r="G569" s="18" t="s">
        <v>2311</v>
      </c>
      <c r="H569" s="4" t="s">
        <v>2312</v>
      </c>
      <c r="I569" s="4" t="s">
        <v>2313</v>
      </c>
      <c r="J569" s="4" t="s">
        <v>1682</v>
      </c>
      <c r="K569" s="6"/>
      <c r="L569" s="6">
        <f>36+3</f>
        <v>39</v>
      </c>
      <c r="M569" s="6">
        <f t="shared" si="70"/>
        <v>39</v>
      </c>
      <c r="N569" s="8" t="s">
        <v>1700</v>
      </c>
      <c r="O569" s="144"/>
    </row>
    <row r="570" spans="1:15" ht="16.5" customHeight="1">
      <c r="A570" s="2">
        <v>50</v>
      </c>
      <c r="B570" s="3">
        <v>8</v>
      </c>
      <c r="C570" s="3">
        <v>515</v>
      </c>
      <c r="D570" s="3"/>
      <c r="E570" s="3" t="s">
        <v>2310</v>
      </c>
      <c r="F570" s="4" t="s">
        <v>2044</v>
      </c>
      <c r="G570" s="18" t="s">
        <v>2314</v>
      </c>
      <c r="H570" s="4" t="s">
        <v>2315</v>
      </c>
      <c r="I570" s="4" t="s">
        <v>2316</v>
      </c>
      <c r="J570" s="4" t="s">
        <v>85</v>
      </c>
      <c r="K570" s="6"/>
      <c r="L570" s="6">
        <f>20+50</f>
        <v>70</v>
      </c>
      <c r="M570" s="6">
        <f t="shared" si="70"/>
        <v>70</v>
      </c>
      <c r="N570" s="8">
        <v>22000</v>
      </c>
      <c r="O570" s="144"/>
    </row>
    <row r="571" spans="1:15" ht="16.5" customHeight="1">
      <c r="A571" s="2">
        <v>50</v>
      </c>
      <c r="B571" s="3">
        <v>9</v>
      </c>
      <c r="C571" s="3">
        <v>516</v>
      </c>
      <c r="D571" s="3"/>
      <c r="E571" s="3" t="s">
        <v>2317</v>
      </c>
      <c r="F571" s="4" t="s">
        <v>1255</v>
      </c>
      <c r="G571" s="18" t="s">
        <v>2318</v>
      </c>
      <c r="H571" s="4" t="s">
        <v>2319</v>
      </c>
      <c r="I571" s="4" t="s">
        <v>2320</v>
      </c>
      <c r="J571" s="4" t="s">
        <v>85</v>
      </c>
      <c r="K571" s="6"/>
      <c r="L571" s="6">
        <v>700</v>
      </c>
      <c r="M571" s="6">
        <f t="shared" si="70"/>
        <v>700</v>
      </c>
      <c r="N571" s="8">
        <v>64240</v>
      </c>
      <c r="O571" s="144"/>
    </row>
    <row r="572" spans="1:15" ht="16.5" customHeight="1">
      <c r="A572" s="2">
        <v>50</v>
      </c>
      <c r="B572" s="3">
        <v>10</v>
      </c>
      <c r="C572" s="3">
        <v>517</v>
      </c>
      <c r="D572" s="3"/>
      <c r="E572" s="3" t="s">
        <v>2055</v>
      </c>
      <c r="F572" s="4" t="s">
        <v>2321</v>
      </c>
      <c r="G572" s="18" t="s">
        <v>2322</v>
      </c>
      <c r="H572" s="4" t="s">
        <v>2323</v>
      </c>
      <c r="I572" s="4" t="s">
        <v>2320</v>
      </c>
      <c r="J572" s="4" t="s">
        <v>85</v>
      </c>
      <c r="K572" s="6"/>
      <c r="L572" s="6">
        <v>50</v>
      </c>
      <c r="M572" s="6">
        <f t="shared" si="70"/>
        <v>50</v>
      </c>
      <c r="N572" s="8">
        <v>45600</v>
      </c>
      <c r="O572" s="144"/>
    </row>
    <row r="573" spans="1:15" ht="16.5" customHeight="1">
      <c r="A573" s="2">
        <v>50</v>
      </c>
      <c r="B573" s="3">
        <v>11</v>
      </c>
      <c r="C573" s="3">
        <v>518</v>
      </c>
      <c r="D573" s="3"/>
      <c r="E573" s="3" t="s">
        <v>2317</v>
      </c>
      <c r="F573" s="4"/>
      <c r="G573" s="18" t="s">
        <v>2324</v>
      </c>
      <c r="H573" s="4" t="s">
        <v>2308</v>
      </c>
      <c r="I573" s="4" t="s">
        <v>2309</v>
      </c>
      <c r="J573" s="4" t="s">
        <v>1271</v>
      </c>
      <c r="K573" s="6"/>
      <c r="L573" s="6">
        <v>10</v>
      </c>
      <c r="M573" s="6">
        <f t="shared" si="70"/>
        <v>10</v>
      </c>
      <c r="N573" s="8" t="s">
        <v>1700</v>
      </c>
      <c r="O573" s="144"/>
    </row>
    <row r="574" spans="1:15" ht="16.5" customHeight="1">
      <c r="A574" s="2">
        <v>50</v>
      </c>
      <c r="B574" s="3">
        <v>12</v>
      </c>
      <c r="C574" s="3">
        <v>519</v>
      </c>
      <c r="D574" s="3"/>
      <c r="E574" s="3" t="s">
        <v>2325</v>
      </c>
      <c r="F574" s="4" t="s">
        <v>2326</v>
      </c>
      <c r="G574" s="18" t="s">
        <v>2327</v>
      </c>
      <c r="H574" s="4" t="s">
        <v>84</v>
      </c>
      <c r="I574" s="4" t="s">
        <v>2328</v>
      </c>
      <c r="J574" s="4" t="s">
        <v>85</v>
      </c>
      <c r="K574" s="6"/>
      <c r="L574" s="6">
        <v>10</v>
      </c>
      <c r="M574" s="6">
        <f t="shared" ref="M574:M586" si="71">K574+L574</f>
        <v>10</v>
      </c>
      <c r="N574" s="8">
        <v>124870</v>
      </c>
      <c r="O574" s="144"/>
    </row>
    <row r="575" spans="1:15" ht="16.5" customHeight="1">
      <c r="A575" s="2">
        <v>50</v>
      </c>
      <c r="B575" s="3">
        <v>13</v>
      </c>
      <c r="C575" s="3">
        <v>520</v>
      </c>
      <c r="D575" s="3"/>
      <c r="E575" s="3" t="s">
        <v>2072</v>
      </c>
      <c r="F575" s="4" t="s">
        <v>2329</v>
      </c>
      <c r="G575" s="18" t="s">
        <v>2330</v>
      </c>
      <c r="H575" s="4" t="s">
        <v>84</v>
      </c>
      <c r="I575" s="4" t="s">
        <v>2331</v>
      </c>
      <c r="J575" s="4" t="s">
        <v>85</v>
      </c>
      <c r="K575" s="6"/>
      <c r="L575" s="6">
        <v>200</v>
      </c>
      <c r="M575" s="6">
        <f t="shared" si="71"/>
        <v>200</v>
      </c>
      <c r="N575" s="8">
        <v>9230</v>
      </c>
      <c r="O575" s="144"/>
    </row>
    <row r="576" spans="1:15" ht="16.5" customHeight="1">
      <c r="A576" s="2">
        <v>50</v>
      </c>
      <c r="B576" s="3">
        <v>14</v>
      </c>
      <c r="C576" s="3">
        <v>521</v>
      </c>
      <c r="D576" s="3"/>
      <c r="E576" s="3" t="s">
        <v>2072</v>
      </c>
      <c r="F576" s="4" t="s">
        <v>2332</v>
      </c>
      <c r="G576" s="18" t="s">
        <v>2333</v>
      </c>
      <c r="H576" s="4" t="s">
        <v>84</v>
      </c>
      <c r="I576" s="4" t="s">
        <v>2331</v>
      </c>
      <c r="J576" s="4" t="s">
        <v>85</v>
      </c>
      <c r="K576" s="6"/>
      <c r="L576" s="6">
        <v>1</v>
      </c>
      <c r="M576" s="6">
        <f t="shared" si="71"/>
        <v>1</v>
      </c>
      <c r="N576" s="8">
        <v>7040</v>
      </c>
      <c r="O576" s="144"/>
    </row>
    <row r="577" spans="1:15" ht="16.5" customHeight="1">
      <c r="A577" s="2">
        <v>50</v>
      </c>
      <c r="B577" s="3">
        <v>15</v>
      </c>
      <c r="C577" s="3">
        <v>522</v>
      </c>
      <c r="D577" s="3"/>
      <c r="E577" s="3" t="s">
        <v>2072</v>
      </c>
      <c r="F577" s="4" t="s">
        <v>2334</v>
      </c>
      <c r="G577" s="18" t="s">
        <v>2335</v>
      </c>
      <c r="H577" s="4" t="s">
        <v>84</v>
      </c>
      <c r="I577" s="4" t="s">
        <v>2331</v>
      </c>
      <c r="J577" s="4" t="s">
        <v>85</v>
      </c>
      <c r="K577" s="6"/>
      <c r="L577" s="6">
        <v>1</v>
      </c>
      <c r="M577" s="6">
        <f t="shared" si="71"/>
        <v>1</v>
      </c>
      <c r="N577" s="8">
        <v>20130</v>
      </c>
      <c r="O577" s="144"/>
    </row>
    <row r="578" spans="1:15" ht="16.5" customHeight="1">
      <c r="A578" s="2">
        <v>50</v>
      </c>
      <c r="B578" s="3">
        <v>16</v>
      </c>
      <c r="C578" s="3">
        <v>523</v>
      </c>
      <c r="D578" s="3"/>
      <c r="E578" s="3" t="s">
        <v>2072</v>
      </c>
      <c r="F578" s="4" t="s">
        <v>2336</v>
      </c>
      <c r="G578" s="18" t="s">
        <v>2337</v>
      </c>
      <c r="H578" s="4" t="s">
        <v>84</v>
      </c>
      <c r="I578" s="4" t="s">
        <v>2331</v>
      </c>
      <c r="J578" s="4" t="s">
        <v>85</v>
      </c>
      <c r="K578" s="6"/>
      <c r="L578" s="6">
        <v>1</v>
      </c>
      <c r="M578" s="6">
        <f t="shared" si="71"/>
        <v>1</v>
      </c>
      <c r="N578" s="8">
        <v>8410</v>
      </c>
      <c r="O578" s="144"/>
    </row>
    <row r="579" spans="1:15" ht="16.5" customHeight="1">
      <c r="A579" s="2">
        <v>50</v>
      </c>
      <c r="B579" s="3">
        <v>17</v>
      </c>
      <c r="C579" s="3">
        <v>524</v>
      </c>
      <c r="D579" s="3"/>
      <c r="E579" s="3" t="s">
        <v>2325</v>
      </c>
      <c r="F579" s="4"/>
      <c r="G579" s="18" t="s">
        <v>2338</v>
      </c>
      <c r="H579" s="4" t="s">
        <v>2339</v>
      </c>
      <c r="I579" s="4" t="s">
        <v>2340</v>
      </c>
      <c r="J579" s="4" t="s">
        <v>85</v>
      </c>
      <c r="K579" s="6"/>
      <c r="L579" s="6">
        <v>100</v>
      </c>
      <c r="M579" s="6">
        <f t="shared" si="71"/>
        <v>100</v>
      </c>
      <c r="N579" s="8" t="s">
        <v>1700</v>
      </c>
      <c r="O579" s="144"/>
    </row>
    <row r="580" spans="1:15" ht="16.5" customHeight="1">
      <c r="A580" s="2">
        <v>50</v>
      </c>
      <c r="B580" s="3">
        <v>18</v>
      </c>
      <c r="C580" s="3">
        <v>525</v>
      </c>
      <c r="D580" s="3"/>
      <c r="E580" s="3" t="s">
        <v>2341</v>
      </c>
      <c r="F580" s="4"/>
      <c r="G580" s="18" t="s">
        <v>2342</v>
      </c>
      <c r="H580" s="4" t="s">
        <v>2343</v>
      </c>
      <c r="I580" s="4" t="s">
        <v>2340</v>
      </c>
      <c r="J580" s="4" t="s">
        <v>85</v>
      </c>
      <c r="K580" s="6"/>
      <c r="L580" s="6">
        <f>5900+2200+2000</f>
        <v>10100</v>
      </c>
      <c r="M580" s="6">
        <f t="shared" si="71"/>
        <v>10100</v>
      </c>
      <c r="N580" s="8" t="s">
        <v>1700</v>
      </c>
      <c r="O580" s="144"/>
    </row>
    <row r="581" spans="1:15" ht="16.5" customHeight="1">
      <c r="A581" s="2">
        <v>50</v>
      </c>
      <c r="B581" s="3">
        <v>19</v>
      </c>
      <c r="C581" s="3">
        <v>526</v>
      </c>
      <c r="D581" s="3"/>
      <c r="E581" s="3" t="s">
        <v>488</v>
      </c>
      <c r="F581" s="4"/>
      <c r="G581" s="18" t="s">
        <v>2344</v>
      </c>
      <c r="H581" s="4" t="s">
        <v>2345</v>
      </c>
      <c r="I581" s="4" t="s">
        <v>2346</v>
      </c>
      <c r="J581" s="4" t="s">
        <v>85</v>
      </c>
      <c r="K581" s="6"/>
      <c r="L581" s="6">
        <v>1</v>
      </c>
      <c r="M581" s="6">
        <f t="shared" si="71"/>
        <v>1</v>
      </c>
      <c r="N581" s="8" t="s">
        <v>1700</v>
      </c>
      <c r="O581" s="144"/>
    </row>
    <row r="582" spans="1:15" ht="16.5" customHeight="1">
      <c r="A582" s="2">
        <v>50</v>
      </c>
      <c r="B582" s="3">
        <v>20</v>
      </c>
      <c r="C582" s="3">
        <v>527</v>
      </c>
      <c r="D582" s="3"/>
      <c r="E582" s="3" t="s">
        <v>2325</v>
      </c>
      <c r="F582" s="4"/>
      <c r="G582" s="18" t="s">
        <v>2347</v>
      </c>
      <c r="H582" s="4" t="s">
        <v>2348</v>
      </c>
      <c r="I582" s="4" t="s">
        <v>2349</v>
      </c>
      <c r="J582" s="4" t="s">
        <v>85</v>
      </c>
      <c r="K582" s="6"/>
      <c r="L582" s="6">
        <v>1</v>
      </c>
      <c r="M582" s="6">
        <f t="shared" si="71"/>
        <v>1</v>
      </c>
      <c r="N582" s="8" t="s">
        <v>1700</v>
      </c>
      <c r="O582" s="144"/>
    </row>
    <row r="583" spans="1:15" ht="16.5" customHeight="1">
      <c r="A583" s="2">
        <v>50</v>
      </c>
      <c r="B583" s="3">
        <v>21</v>
      </c>
      <c r="C583" s="3">
        <v>528</v>
      </c>
      <c r="D583" s="3"/>
      <c r="E583" s="3" t="s">
        <v>2325</v>
      </c>
      <c r="F583" s="4"/>
      <c r="G583" s="18" t="s">
        <v>2350</v>
      </c>
      <c r="H583" s="4" t="s">
        <v>1583</v>
      </c>
      <c r="I583" s="4" t="s">
        <v>2349</v>
      </c>
      <c r="J583" s="4" t="s">
        <v>85</v>
      </c>
      <c r="K583" s="6"/>
      <c r="L583" s="6">
        <v>1</v>
      </c>
      <c r="M583" s="6">
        <f t="shared" si="71"/>
        <v>1</v>
      </c>
      <c r="N583" s="8" t="s">
        <v>1700</v>
      </c>
      <c r="O583" s="144"/>
    </row>
    <row r="584" spans="1:15" ht="16.5" customHeight="1">
      <c r="A584" s="2">
        <v>50</v>
      </c>
      <c r="B584" s="3">
        <v>22</v>
      </c>
      <c r="C584" s="3">
        <v>529</v>
      </c>
      <c r="D584" s="3"/>
      <c r="E584" s="3" t="s">
        <v>2325</v>
      </c>
      <c r="F584" s="4"/>
      <c r="G584" s="18" t="s">
        <v>2351</v>
      </c>
      <c r="H584" s="4" t="s">
        <v>2348</v>
      </c>
      <c r="I584" s="4" t="s">
        <v>2349</v>
      </c>
      <c r="J584" s="4" t="s">
        <v>85</v>
      </c>
      <c r="K584" s="6"/>
      <c r="L584" s="6">
        <v>1</v>
      </c>
      <c r="M584" s="6">
        <f t="shared" si="71"/>
        <v>1</v>
      </c>
      <c r="N584" s="8" t="s">
        <v>1700</v>
      </c>
      <c r="O584" s="144"/>
    </row>
    <row r="585" spans="1:15" ht="16.5" customHeight="1">
      <c r="A585" s="2">
        <v>50</v>
      </c>
      <c r="B585" s="3">
        <v>23</v>
      </c>
      <c r="C585" s="3">
        <v>530</v>
      </c>
      <c r="D585" s="3"/>
      <c r="E585" s="3" t="s">
        <v>2325</v>
      </c>
      <c r="F585" s="4"/>
      <c r="G585" s="18" t="s">
        <v>2352</v>
      </c>
      <c r="H585" s="4" t="s">
        <v>2348</v>
      </c>
      <c r="I585" s="4" t="s">
        <v>2349</v>
      </c>
      <c r="J585" s="4" t="s">
        <v>85</v>
      </c>
      <c r="K585" s="6"/>
      <c r="L585" s="6">
        <v>1</v>
      </c>
      <c r="M585" s="6">
        <f t="shared" si="71"/>
        <v>1</v>
      </c>
      <c r="N585" s="8" t="s">
        <v>1700</v>
      </c>
      <c r="O585" s="144"/>
    </row>
    <row r="586" spans="1:15" ht="16.5" customHeight="1">
      <c r="A586" s="160">
        <v>50</v>
      </c>
      <c r="B586" s="161">
        <v>24</v>
      </c>
      <c r="C586" s="3">
        <v>531</v>
      </c>
      <c r="D586" s="161"/>
      <c r="E586" s="161" t="s">
        <v>2325</v>
      </c>
      <c r="F586" s="162"/>
      <c r="G586" s="163" t="s">
        <v>2353</v>
      </c>
      <c r="H586" s="162" t="s">
        <v>2348</v>
      </c>
      <c r="I586" s="162" t="s">
        <v>2349</v>
      </c>
      <c r="J586" s="162" t="s">
        <v>85</v>
      </c>
      <c r="K586" s="6"/>
      <c r="L586" s="6">
        <v>1</v>
      </c>
      <c r="M586" s="6">
        <f t="shared" si="71"/>
        <v>1</v>
      </c>
      <c r="N586" s="8" t="s">
        <v>1700</v>
      </c>
      <c r="O586" s="144"/>
    </row>
    <row r="587" spans="1:15" ht="16.5" customHeight="1">
      <c r="A587" s="166"/>
      <c r="B587" s="167"/>
      <c r="C587" s="167"/>
      <c r="D587" s="168"/>
      <c r="E587" s="168"/>
      <c r="F587" s="169"/>
      <c r="G587" s="170"/>
      <c r="H587" s="171"/>
      <c r="I587" s="172"/>
      <c r="J587" s="173"/>
      <c r="K587" s="159">
        <f>SUM(K563:K586)</f>
        <v>0</v>
      </c>
      <c r="L587" s="157">
        <f t="shared" ref="L587:M587" si="72">SUM(L563:L586)</f>
        <v>11369</v>
      </c>
      <c r="M587" s="157">
        <f t="shared" si="72"/>
        <v>11369</v>
      </c>
      <c r="N587" s="17"/>
      <c r="O587" s="145"/>
    </row>
    <row r="588" spans="1:15" ht="16.5" customHeight="1">
      <c r="A588" s="133">
        <v>51</v>
      </c>
      <c r="B588" s="134">
        <v>1</v>
      </c>
      <c r="C588" s="134">
        <v>532</v>
      </c>
      <c r="D588" s="134" t="s">
        <v>14</v>
      </c>
      <c r="E588" s="137"/>
      <c r="F588" s="137"/>
      <c r="G588" s="138" t="s">
        <v>395</v>
      </c>
      <c r="H588" s="137" t="s">
        <v>396</v>
      </c>
      <c r="I588" s="137" t="s">
        <v>397</v>
      </c>
      <c r="J588" s="137" t="s">
        <v>18</v>
      </c>
      <c r="K588" s="6">
        <v>400</v>
      </c>
      <c r="L588" s="6"/>
      <c r="M588" s="6">
        <f>K588+L588</f>
        <v>400</v>
      </c>
      <c r="N588" s="8" t="s">
        <v>2934</v>
      </c>
      <c r="O588" s="144"/>
    </row>
    <row r="589" spans="1:15" ht="16.5" customHeight="1">
      <c r="A589" s="2">
        <v>51</v>
      </c>
      <c r="B589" s="3">
        <v>2</v>
      </c>
      <c r="C589" s="3">
        <v>533</v>
      </c>
      <c r="D589" s="3" t="s">
        <v>422</v>
      </c>
      <c r="E589" s="4"/>
      <c r="F589" s="4"/>
      <c r="G589" s="18" t="s">
        <v>423</v>
      </c>
      <c r="H589" s="4" t="s">
        <v>84</v>
      </c>
      <c r="I589" s="4" t="s">
        <v>408</v>
      </c>
      <c r="J589" s="4" t="s">
        <v>424</v>
      </c>
      <c r="K589" s="6">
        <v>70</v>
      </c>
      <c r="L589" s="6"/>
      <c r="M589" s="6">
        <f t="shared" ref="M589:M602" si="73">K589+L589</f>
        <v>70</v>
      </c>
      <c r="N589" s="8" t="s">
        <v>2934</v>
      </c>
      <c r="O589" s="144"/>
    </row>
    <row r="590" spans="1:15" ht="16.5" customHeight="1">
      <c r="A590" s="2">
        <v>51</v>
      </c>
      <c r="B590" s="3">
        <v>3</v>
      </c>
      <c r="C590" s="3">
        <v>534</v>
      </c>
      <c r="D590" s="3" t="s">
        <v>425</v>
      </c>
      <c r="E590" s="4"/>
      <c r="F590" s="4"/>
      <c r="G590" s="18" t="s">
        <v>423</v>
      </c>
      <c r="H590" s="4" t="s">
        <v>84</v>
      </c>
      <c r="I590" s="4" t="s">
        <v>426</v>
      </c>
      <c r="J590" s="4" t="s">
        <v>424</v>
      </c>
      <c r="K590" s="6">
        <v>300</v>
      </c>
      <c r="L590" s="6"/>
      <c r="M590" s="6">
        <f t="shared" si="73"/>
        <v>300</v>
      </c>
      <c r="N590" s="8" t="s">
        <v>2934</v>
      </c>
      <c r="O590" s="144"/>
    </row>
    <row r="591" spans="1:15" ht="16.5" customHeight="1">
      <c r="A591" s="2">
        <v>51</v>
      </c>
      <c r="B591" s="3">
        <v>4</v>
      </c>
      <c r="C591" s="3">
        <v>535</v>
      </c>
      <c r="D591" s="3" t="s">
        <v>315</v>
      </c>
      <c r="E591" s="4"/>
      <c r="F591" s="4"/>
      <c r="G591" s="18" t="s">
        <v>449</v>
      </c>
      <c r="H591" s="4" t="s">
        <v>450</v>
      </c>
      <c r="I591" s="4" t="s">
        <v>451</v>
      </c>
      <c r="J591" s="4" t="s">
        <v>310</v>
      </c>
      <c r="K591" s="6">
        <v>350</v>
      </c>
      <c r="L591" s="6"/>
      <c r="M591" s="6">
        <f t="shared" si="73"/>
        <v>350</v>
      </c>
      <c r="N591" s="8" t="s">
        <v>2934</v>
      </c>
      <c r="O591" s="144"/>
    </row>
    <row r="592" spans="1:15" ht="16.5" customHeight="1">
      <c r="A592" s="2">
        <v>51</v>
      </c>
      <c r="B592" s="3">
        <v>5</v>
      </c>
      <c r="C592" s="3">
        <v>536</v>
      </c>
      <c r="D592" s="3" t="s">
        <v>14</v>
      </c>
      <c r="E592" s="4"/>
      <c r="F592" s="4"/>
      <c r="G592" s="18" t="s">
        <v>950</v>
      </c>
      <c r="H592" s="4" t="s">
        <v>84</v>
      </c>
      <c r="I592" s="4" t="s">
        <v>397</v>
      </c>
      <c r="J592" s="4" t="s">
        <v>951</v>
      </c>
      <c r="K592" s="6">
        <v>50</v>
      </c>
      <c r="L592" s="6"/>
      <c r="M592" s="6">
        <f t="shared" si="73"/>
        <v>50</v>
      </c>
      <c r="N592" s="8" t="s">
        <v>2934</v>
      </c>
      <c r="O592" s="144"/>
    </row>
    <row r="593" spans="1:15" ht="16.5" customHeight="1">
      <c r="A593" s="2">
        <v>51</v>
      </c>
      <c r="B593" s="3">
        <v>6</v>
      </c>
      <c r="C593" s="3">
        <v>537</v>
      </c>
      <c r="D593" s="3" t="s">
        <v>14</v>
      </c>
      <c r="E593" s="4"/>
      <c r="F593" s="4"/>
      <c r="G593" s="18" t="s">
        <v>1224</v>
      </c>
      <c r="H593" s="4" t="s">
        <v>977</v>
      </c>
      <c r="I593" s="4" t="s">
        <v>1225</v>
      </c>
      <c r="J593" s="4" t="s">
        <v>18</v>
      </c>
      <c r="K593" s="6">
        <v>3000</v>
      </c>
      <c r="L593" s="6"/>
      <c r="M593" s="6">
        <f t="shared" si="73"/>
        <v>3000</v>
      </c>
      <c r="N593" s="8" t="s">
        <v>2934</v>
      </c>
      <c r="O593" s="144"/>
    </row>
    <row r="594" spans="1:15" ht="16.5" customHeight="1">
      <c r="A594" s="2">
        <v>51</v>
      </c>
      <c r="B594" s="3">
        <v>7</v>
      </c>
      <c r="C594" s="3">
        <v>538</v>
      </c>
      <c r="D594" s="3" t="s">
        <v>14</v>
      </c>
      <c r="E594" s="4"/>
      <c r="F594" s="4"/>
      <c r="G594" s="18" t="s">
        <v>1239</v>
      </c>
      <c r="H594" s="4" t="s">
        <v>1240</v>
      </c>
      <c r="I594" s="4" t="s">
        <v>1241</v>
      </c>
      <c r="J594" s="4" t="s">
        <v>524</v>
      </c>
      <c r="K594" s="6">
        <v>20</v>
      </c>
      <c r="L594" s="6"/>
      <c r="M594" s="6">
        <f t="shared" si="73"/>
        <v>20</v>
      </c>
      <c r="N594" s="8" t="s">
        <v>2934</v>
      </c>
      <c r="O594" s="144"/>
    </row>
    <row r="595" spans="1:15" ht="16.5" customHeight="1">
      <c r="A595" s="2">
        <v>51</v>
      </c>
      <c r="B595" s="3">
        <v>8</v>
      </c>
      <c r="C595" s="3">
        <v>539</v>
      </c>
      <c r="D595" s="3" t="s">
        <v>14</v>
      </c>
      <c r="E595" s="4"/>
      <c r="F595" s="4"/>
      <c r="G595" s="18" t="s">
        <v>1239</v>
      </c>
      <c r="H595" s="4" t="s">
        <v>1242</v>
      </c>
      <c r="I595" s="4" t="s">
        <v>1241</v>
      </c>
      <c r="J595" s="4" t="s">
        <v>524</v>
      </c>
      <c r="K595" s="6">
        <v>20</v>
      </c>
      <c r="L595" s="6"/>
      <c r="M595" s="6">
        <f t="shared" si="73"/>
        <v>20</v>
      </c>
      <c r="N595" s="8" t="s">
        <v>2934</v>
      </c>
      <c r="O595" s="144"/>
    </row>
    <row r="596" spans="1:15" ht="16.5" customHeight="1">
      <c r="A596" s="2">
        <v>51</v>
      </c>
      <c r="B596" s="3">
        <v>9</v>
      </c>
      <c r="C596" s="3">
        <v>540</v>
      </c>
      <c r="D596" s="3" t="s">
        <v>14</v>
      </c>
      <c r="E596" s="4"/>
      <c r="F596" s="4"/>
      <c r="G596" s="18" t="s">
        <v>1409</v>
      </c>
      <c r="H596" s="4" t="s">
        <v>1410</v>
      </c>
      <c r="I596" s="4" t="s">
        <v>1411</v>
      </c>
      <c r="J596" s="4" t="s">
        <v>1412</v>
      </c>
      <c r="K596" s="6">
        <v>500</v>
      </c>
      <c r="L596" s="6"/>
      <c r="M596" s="6">
        <f t="shared" si="73"/>
        <v>500</v>
      </c>
      <c r="N596" s="8" t="s">
        <v>2934</v>
      </c>
      <c r="O596" s="144"/>
    </row>
    <row r="597" spans="1:15" ht="16.5" customHeight="1">
      <c r="A597" s="2">
        <v>51</v>
      </c>
      <c r="B597" s="3">
        <v>10</v>
      </c>
      <c r="C597" s="3">
        <v>541</v>
      </c>
      <c r="D597" s="3" t="s">
        <v>14</v>
      </c>
      <c r="E597" s="4"/>
      <c r="F597" s="4"/>
      <c r="G597" s="18" t="s">
        <v>1413</v>
      </c>
      <c r="H597" s="4" t="s">
        <v>1410</v>
      </c>
      <c r="I597" s="4" t="s">
        <v>1414</v>
      </c>
      <c r="J597" s="4" t="s">
        <v>1412</v>
      </c>
      <c r="K597" s="6">
        <v>2500</v>
      </c>
      <c r="L597" s="6"/>
      <c r="M597" s="6">
        <f t="shared" si="73"/>
        <v>2500</v>
      </c>
      <c r="N597" s="8" t="s">
        <v>2934</v>
      </c>
      <c r="O597" s="144"/>
    </row>
    <row r="598" spans="1:15" ht="16.5" customHeight="1">
      <c r="A598" s="2">
        <v>51</v>
      </c>
      <c r="B598" s="3">
        <v>11</v>
      </c>
      <c r="C598" s="3">
        <v>542</v>
      </c>
      <c r="D598" s="3" t="s">
        <v>14</v>
      </c>
      <c r="E598" s="4"/>
      <c r="F598" s="4"/>
      <c r="G598" s="18" t="s">
        <v>1415</v>
      </c>
      <c r="H598" s="4" t="s">
        <v>175</v>
      </c>
      <c r="I598" s="4" t="s">
        <v>1416</v>
      </c>
      <c r="J598" s="4" t="s">
        <v>1417</v>
      </c>
      <c r="K598" s="6">
        <v>30</v>
      </c>
      <c r="L598" s="6"/>
      <c r="M598" s="6">
        <f t="shared" si="73"/>
        <v>30</v>
      </c>
      <c r="N598" s="8" t="s">
        <v>2934</v>
      </c>
      <c r="O598" s="144"/>
    </row>
    <row r="599" spans="1:15" ht="16.5" customHeight="1">
      <c r="A599" s="2">
        <v>51</v>
      </c>
      <c r="B599" s="3">
        <v>12</v>
      </c>
      <c r="C599" s="3">
        <v>543</v>
      </c>
      <c r="D599" s="3"/>
      <c r="E599" s="4" t="s">
        <v>2075</v>
      </c>
      <c r="F599" s="4"/>
      <c r="G599" s="18" t="s">
        <v>2521</v>
      </c>
      <c r="H599" s="4" t="s">
        <v>84</v>
      </c>
      <c r="I599" s="4" t="s">
        <v>2520</v>
      </c>
      <c r="J599" s="4" t="s">
        <v>206</v>
      </c>
      <c r="K599" s="6"/>
      <c r="L599" s="6">
        <v>250</v>
      </c>
      <c r="M599" s="6">
        <f t="shared" si="73"/>
        <v>250</v>
      </c>
      <c r="N599" s="8" t="s">
        <v>1700</v>
      </c>
      <c r="O599" s="144"/>
    </row>
    <row r="600" spans="1:15" ht="16.5" customHeight="1">
      <c r="A600" s="2">
        <v>51</v>
      </c>
      <c r="B600" s="3">
        <v>13</v>
      </c>
      <c r="C600" s="3">
        <v>544</v>
      </c>
      <c r="D600" s="3"/>
      <c r="E600" s="4" t="s">
        <v>2075</v>
      </c>
      <c r="F600" s="4"/>
      <c r="G600" s="18" t="s">
        <v>2486</v>
      </c>
      <c r="H600" s="4" t="s">
        <v>84</v>
      </c>
      <c r="I600" s="4" t="s">
        <v>2487</v>
      </c>
      <c r="J600" s="4" t="s">
        <v>85</v>
      </c>
      <c r="K600" s="6"/>
      <c r="L600" s="6">
        <v>120</v>
      </c>
      <c r="M600" s="6">
        <f t="shared" si="73"/>
        <v>120</v>
      </c>
      <c r="N600" s="8" t="s">
        <v>1700</v>
      </c>
      <c r="O600" s="144"/>
    </row>
    <row r="601" spans="1:15" ht="16.5" customHeight="1">
      <c r="A601" s="2">
        <v>51</v>
      </c>
      <c r="B601" s="3">
        <v>14</v>
      </c>
      <c r="C601" s="3">
        <v>545</v>
      </c>
      <c r="D601" s="3"/>
      <c r="E601" s="4" t="s">
        <v>2075</v>
      </c>
      <c r="F601" s="4"/>
      <c r="G601" s="18" t="s">
        <v>2135</v>
      </c>
      <c r="H601" s="4" t="s">
        <v>84</v>
      </c>
      <c r="I601" s="4" t="s">
        <v>2136</v>
      </c>
      <c r="J601" s="4" t="s">
        <v>85</v>
      </c>
      <c r="K601" s="6"/>
      <c r="L601" s="6">
        <v>3600</v>
      </c>
      <c r="M601" s="6">
        <f t="shared" si="73"/>
        <v>3600</v>
      </c>
      <c r="N601" s="8" t="s">
        <v>1700</v>
      </c>
      <c r="O601" s="144"/>
    </row>
    <row r="602" spans="1:15" ht="16.5" customHeight="1">
      <c r="A602" s="160">
        <v>51</v>
      </c>
      <c r="B602" s="161">
        <v>15</v>
      </c>
      <c r="C602" s="3">
        <v>546</v>
      </c>
      <c r="D602" s="161"/>
      <c r="E602" s="162" t="s">
        <v>2075</v>
      </c>
      <c r="F602" s="162"/>
      <c r="G602" s="163" t="s">
        <v>2146</v>
      </c>
      <c r="H602" s="162" t="s">
        <v>320</v>
      </c>
      <c r="I602" s="162" t="s">
        <v>2147</v>
      </c>
      <c r="J602" s="162" t="s">
        <v>85</v>
      </c>
      <c r="K602" s="6"/>
      <c r="L602" s="6">
        <v>780</v>
      </c>
      <c r="M602" s="6">
        <f t="shared" si="73"/>
        <v>780</v>
      </c>
      <c r="N602" s="8" t="s">
        <v>1700</v>
      </c>
      <c r="O602" s="144"/>
    </row>
    <row r="603" spans="1:15" s="9" customFormat="1" ht="16.5" customHeight="1">
      <c r="A603" s="174"/>
      <c r="B603" s="168"/>
      <c r="C603" s="168"/>
      <c r="D603" s="168"/>
      <c r="E603" s="168"/>
      <c r="F603" s="175"/>
      <c r="G603" s="176"/>
      <c r="H603" s="175"/>
      <c r="I603" s="177"/>
      <c r="J603" s="178"/>
      <c r="K603" s="159">
        <f>SUM(K588:K602)</f>
        <v>7240</v>
      </c>
      <c r="L603" s="157">
        <f t="shared" ref="L603:M603" si="74">SUM(L588:L602)</f>
        <v>4750</v>
      </c>
      <c r="M603" s="157">
        <f t="shared" si="74"/>
        <v>11990</v>
      </c>
      <c r="N603" s="17"/>
      <c r="O603" s="145"/>
    </row>
    <row r="604" spans="1:15" s="9" customFormat="1" ht="16.5" customHeight="1">
      <c r="A604" s="133">
        <v>52</v>
      </c>
      <c r="B604" s="134">
        <v>1</v>
      </c>
      <c r="C604" s="134">
        <v>547</v>
      </c>
      <c r="D604" s="134" t="s">
        <v>14</v>
      </c>
      <c r="E604" s="134"/>
      <c r="F604" s="137"/>
      <c r="G604" s="165" t="s">
        <v>1354</v>
      </c>
      <c r="H604" s="137" t="s">
        <v>1355</v>
      </c>
      <c r="I604" s="134" t="s">
        <v>2814</v>
      </c>
      <c r="J604" s="134" t="s">
        <v>35</v>
      </c>
      <c r="K604" s="6">
        <v>55000</v>
      </c>
      <c r="L604" s="6"/>
      <c r="M604" s="6">
        <f t="shared" ref="M604:M625" si="75">K604+L604</f>
        <v>55000</v>
      </c>
      <c r="N604" s="8" t="s">
        <v>2934</v>
      </c>
      <c r="O604" s="149"/>
    </row>
    <row r="605" spans="1:15" s="9" customFormat="1" ht="16.5" customHeight="1">
      <c r="A605" s="2">
        <v>52</v>
      </c>
      <c r="B605" s="3">
        <v>2</v>
      </c>
      <c r="C605" s="3">
        <v>548</v>
      </c>
      <c r="D605" s="3" t="s">
        <v>14</v>
      </c>
      <c r="E605" s="3"/>
      <c r="F605" s="4" t="s">
        <v>1155</v>
      </c>
      <c r="G605" s="5" t="s">
        <v>1156</v>
      </c>
      <c r="H605" s="4" t="s">
        <v>589</v>
      </c>
      <c r="I605" s="3" t="s">
        <v>2815</v>
      </c>
      <c r="J605" s="3" t="s">
        <v>35</v>
      </c>
      <c r="K605" s="6">
        <v>50</v>
      </c>
      <c r="L605" s="6"/>
      <c r="M605" s="6">
        <f t="shared" si="75"/>
        <v>50</v>
      </c>
      <c r="N605" s="8" t="s">
        <v>19</v>
      </c>
      <c r="O605" s="149"/>
    </row>
    <row r="606" spans="1:15" s="9" customFormat="1" ht="16.5" customHeight="1">
      <c r="A606" s="2">
        <v>52</v>
      </c>
      <c r="B606" s="3">
        <v>3</v>
      </c>
      <c r="C606" s="134">
        <v>549</v>
      </c>
      <c r="D606" s="3" t="s">
        <v>14</v>
      </c>
      <c r="E606" s="3"/>
      <c r="F606" s="4"/>
      <c r="G606" s="5" t="s">
        <v>1158</v>
      </c>
      <c r="H606" s="4" t="s">
        <v>262</v>
      </c>
      <c r="I606" s="3" t="s">
        <v>2616</v>
      </c>
      <c r="J606" s="3" t="s">
        <v>35</v>
      </c>
      <c r="K606" s="6">
        <v>30</v>
      </c>
      <c r="L606" s="6"/>
      <c r="M606" s="6">
        <f t="shared" si="75"/>
        <v>30</v>
      </c>
      <c r="N606" s="8" t="s">
        <v>2934</v>
      </c>
      <c r="O606" s="149"/>
    </row>
    <row r="607" spans="1:15" s="9" customFormat="1" ht="16.5" customHeight="1">
      <c r="A607" s="2">
        <v>52</v>
      </c>
      <c r="B607" s="3">
        <v>4</v>
      </c>
      <c r="C607" s="3">
        <v>550</v>
      </c>
      <c r="D607" s="3" t="s">
        <v>14</v>
      </c>
      <c r="E607" s="3"/>
      <c r="F607" s="4"/>
      <c r="G607" s="5" t="s">
        <v>1158</v>
      </c>
      <c r="H607" s="4" t="s">
        <v>264</v>
      </c>
      <c r="I607" s="3" t="s">
        <v>2816</v>
      </c>
      <c r="J607" s="3" t="s">
        <v>35</v>
      </c>
      <c r="K607" s="6">
        <v>20</v>
      </c>
      <c r="L607" s="6"/>
      <c r="M607" s="6">
        <f t="shared" si="75"/>
        <v>20</v>
      </c>
      <c r="N607" s="8" t="s">
        <v>2934</v>
      </c>
      <c r="O607" s="149"/>
    </row>
    <row r="608" spans="1:15" s="9" customFormat="1" ht="16.5" customHeight="1">
      <c r="A608" s="2">
        <v>52</v>
      </c>
      <c r="B608" s="3">
        <v>5</v>
      </c>
      <c r="C608" s="134">
        <v>551</v>
      </c>
      <c r="D608" s="3" t="s">
        <v>14</v>
      </c>
      <c r="E608" s="3"/>
      <c r="F608" s="4"/>
      <c r="G608" s="5" t="s">
        <v>1158</v>
      </c>
      <c r="H608" s="4" t="s">
        <v>263</v>
      </c>
      <c r="I608" s="3" t="s">
        <v>2816</v>
      </c>
      <c r="J608" s="3" t="s">
        <v>35</v>
      </c>
      <c r="K608" s="6">
        <v>50</v>
      </c>
      <c r="L608" s="6"/>
      <c r="M608" s="6">
        <f t="shared" si="75"/>
        <v>50</v>
      </c>
      <c r="N608" s="8" t="s">
        <v>2934</v>
      </c>
      <c r="O608" s="149"/>
    </row>
    <row r="609" spans="1:15" s="9" customFormat="1" ht="16.5" customHeight="1">
      <c r="A609" s="2">
        <v>52</v>
      </c>
      <c r="B609" s="3">
        <v>6</v>
      </c>
      <c r="C609" s="3">
        <v>552</v>
      </c>
      <c r="D609" s="3" t="s">
        <v>14</v>
      </c>
      <c r="E609" s="3" t="s">
        <v>2075</v>
      </c>
      <c r="F609" s="4" t="s">
        <v>1160</v>
      </c>
      <c r="G609" s="5" t="s">
        <v>1161</v>
      </c>
      <c r="H609" s="4" t="s">
        <v>1162</v>
      </c>
      <c r="I609" s="3" t="s">
        <v>2817</v>
      </c>
      <c r="J609" s="3" t="s">
        <v>35</v>
      </c>
      <c r="K609" s="6">
        <v>200</v>
      </c>
      <c r="L609" s="6">
        <v>200</v>
      </c>
      <c r="M609" s="6">
        <f t="shared" si="75"/>
        <v>400</v>
      </c>
      <c r="N609" s="8">
        <v>1240</v>
      </c>
      <c r="O609" s="149"/>
    </row>
    <row r="610" spans="1:15" s="9" customFormat="1" ht="16.5" customHeight="1">
      <c r="A610" s="2">
        <v>52</v>
      </c>
      <c r="B610" s="3">
        <v>7</v>
      </c>
      <c r="C610" s="134">
        <v>553</v>
      </c>
      <c r="D610" s="3" t="s">
        <v>567</v>
      </c>
      <c r="E610" s="3"/>
      <c r="F610" s="4"/>
      <c r="G610" s="5" t="s">
        <v>1163</v>
      </c>
      <c r="H610" s="4" t="s">
        <v>1164</v>
      </c>
      <c r="I610" s="3"/>
      <c r="J610" s="3" t="s">
        <v>85</v>
      </c>
      <c r="K610" s="6">
        <v>60</v>
      </c>
      <c r="L610" s="6"/>
      <c r="M610" s="6">
        <f t="shared" si="75"/>
        <v>60</v>
      </c>
      <c r="N610" s="8" t="s">
        <v>2934</v>
      </c>
      <c r="O610" s="149"/>
    </row>
    <row r="611" spans="1:15" s="9" customFormat="1" ht="16.5" customHeight="1">
      <c r="A611" s="2">
        <v>52</v>
      </c>
      <c r="B611" s="3">
        <v>8</v>
      </c>
      <c r="C611" s="3">
        <v>554</v>
      </c>
      <c r="D611" s="3" t="s">
        <v>14</v>
      </c>
      <c r="E611" s="3"/>
      <c r="F611" s="4"/>
      <c r="G611" s="5" t="s">
        <v>1165</v>
      </c>
      <c r="H611" s="4" t="s">
        <v>1166</v>
      </c>
      <c r="I611" s="3" t="s">
        <v>2818</v>
      </c>
      <c r="J611" s="3" t="s">
        <v>1167</v>
      </c>
      <c r="K611" s="6">
        <v>30</v>
      </c>
      <c r="L611" s="6"/>
      <c r="M611" s="6">
        <f t="shared" si="75"/>
        <v>30</v>
      </c>
      <c r="N611" s="8" t="s">
        <v>2934</v>
      </c>
      <c r="O611" s="149"/>
    </row>
    <row r="612" spans="1:15" s="9" customFormat="1" ht="16.5" customHeight="1">
      <c r="A612" s="2">
        <v>52</v>
      </c>
      <c r="B612" s="3">
        <v>9</v>
      </c>
      <c r="C612" s="134">
        <v>555</v>
      </c>
      <c r="D612" s="3" t="s">
        <v>14</v>
      </c>
      <c r="E612" s="3"/>
      <c r="F612" s="4"/>
      <c r="G612" s="5" t="s">
        <v>3016</v>
      </c>
      <c r="H612" s="4" t="s">
        <v>1169</v>
      </c>
      <c r="I612" s="3" t="s">
        <v>2819</v>
      </c>
      <c r="J612" s="3" t="s">
        <v>18</v>
      </c>
      <c r="K612" s="6">
        <v>50</v>
      </c>
      <c r="L612" s="6"/>
      <c r="M612" s="6">
        <f t="shared" si="75"/>
        <v>50</v>
      </c>
      <c r="N612" s="8" t="s">
        <v>2934</v>
      </c>
      <c r="O612" s="149"/>
    </row>
    <row r="613" spans="1:15" s="9" customFormat="1" ht="16.5" customHeight="1">
      <c r="A613" s="2">
        <v>52</v>
      </c>
      <c r="B613" s="3">
        <v>10</v>
      </c>
      <c r="C613" s="3">
        <v>556</v>
      </c>
      <c r="D613" s="3" t="s">
        <v>33</v>
      </c>
      <c r="E613" s="3"/>
      <c r="F613" s="4"/>
      <c r="G613" s="5" t="s">
        <v>1168</v>
      </c>
      <c r="H613" s="4" t="s">
        <v>1170</v>
      </c>
      <c r="I613" s="3" t="s">
        <v>2819</v>
      </c>
      <c r="J613" s="3" t="s">
        <v>18</v>
      </c>
      <c r="K613" s="6">
        <v>200</v>
      </c>
      <c r="L613" s="6"/>
      <c r="M613" s="6">
        <f t="shared" si="75"/>
        <v>200</v>
      </c>
      <c r="N613" s="8" t="s">
        <v>2934</v>
      </c>
      <c r="O613" s="149"/>
    </row>
    <row r="614" spans="1:15" s="9" customFormat="1" ht="16.5" customHeight="1">
      <c r="A614" s="2">
        <v>52</v>
      </c>
      <c r="B614" s="3">
        <v>11</v>
      </c>
      <c r="C614" s="134">
        <v>557</v>
      </c>
      <c r="D614" s="3" t="s">
        <v>33</v>
      </c>
      <c r="E614" s="3"/>
      <c r="F614" s="4"/>
      <c r="G614" s="5" t="s">
        <v>1168</v>
      </c>
      <c r="H614" s="4" t="s">
        <v>1171</v>
      </c>
      <c r="I614" s="3" t="s">
        <v>2819</v>
      </c>
      <c r="J614" s="3" t="s">
        <v>18</v>
      </c>
      <c r="K614" s="6">
        <f>50+10</f>
        <v>60</v>
      </c>
      <c r="L614" s="6"/>
      <c r="M614" s="6">
        <f t="shared" si="75"/>
        <v>60</v>
      </c>
      <c r="N614" s="8" t="s">
        <v>2934</v>
      </c>
      <c r="O614" s="149"/>
    </row>
    <row r="615" spans="1:15" s="9" customFormat="1" ht="16.5" customHeight="1">
      <c r="A615" s="2">
        <v>52</v>
      </c>
      <c r="B615" s="3">
        <v>12</v>
      </c>
      <c r="C615" s="3">
        <v>558</v>
      </c>
      <c r="D615" s="3" t="s">
        <v>14</v>
      </c>
      <c r="E615" s="3" t="s">
        <v>1705</v>
      </c>
      <c r="F615" s="4" t="s">
        <v>1172</v>
      </c>
      <c r="G615" s="5" t="s">
        <v>1173</v>
      </c>
      <c r="H615" s="4" t="s">
        <v>1170</v>
      </c>
      <c r="I615" s="3" t="s">
        <v>2820</v>
      </c>
      <c r="J615" s="3" t="s">
        <v>13</v>
      </c>
      <c r="K615" s="6">
        <v>30</v>
      </c>
      <c r="L615" s="6">
        <v>1</v>
      </c>
      <c r="M615" s="6">
        <f t="shared" si="75"/>
        <v>31</v>
      </c>
      <c r="N615" s="8">
        <v>21280</v>
      </c>
      <c r="O615" s="149"/>
    </row>
    <row r="616" spans="1:15" s="9" customFormat="1" ht="16.5" customHeight="1">
      <c r="A616" s="2">
        <v>52</v>
      </c>
      <c r="B616" s="3">
        <v>13</v>
      </c>
      <c r="C616" s="134">
        <v>559</v>
      </c>
      <c r="D616" s="3" t="s">
        <v>1174</v>
      </c>
      <c r="E616" s="3"/>
      <c r="F616" s="4" t="s">
        <v>1175</v>
      </c>
      <c r="G616" s="5" t="s">
        <v>1176</v>
      </c>
      <c r="H616" s="4" t="s">
        <v>1177</v>
      </c>
      <c r="I616" s="3" t="s">
        <v>2821</v>
      </c>
      <c r="J616" s="3" t="s">
        <v>1178</v>
      </c>
      <c r="K616" s="6">
        <v>2</v>
      </c>
      <c r="L616" s="6"/>
      <c r="M616" s="6">
        <f t="shared" si="75"/>
        <v>2</v>
      </c>
      <c r="N616" s="8">
        <f>763*200</f>
        <v>152600</v>
      </c>
      <c r="O616" s="149" t="s">
        <v>2948</v>
      </c>
    </row>
    <row r="617" spans="1:15" s="9" customFormat="1" ht="16.5" customHeight="1">
      <c r="A617" s="2">
        <v>52</v>
      </c>
      <c r="B617" s="3">
        <v>14</v>
      </c>
      <c r="C617" s="3">
        <v>560</v>
      </c>
      <c r="D617" s="3" t="s">
        <v>14</v>
      </c>
      <c r="E617" s="3" t="s">
        <v>2075</v>
      </c>
      <c r="F617" s="4"/>
      <c r="G617" s="5" t="s">
        <v>1179</v>
      </c>
      <c r="H617" s="4"/>
      <c r="I617" s="3" t="s">
        <v>2822</v>
      </c>
      <c r="J617" s="3" t="s">
        <v>35</v>
      </c>
      <c r="K617" s="6">
        <v>700</v>
      </c>
      <c r="L617" s="6">
        <v>400</v>
      </c>
      <c r="M617" s="6">
        <f t="shared" si="75"/>
        <v>1100</v>
      </c>
      <c r="N617" s="8" t="s">
        <v>2934</v>
      </c>
      <c r="O617" s="149"/>
    </row>
    <row r="618" spans="1:15" s="9" customFormat="1" ht="16.5" customHeight="1">
      <c r="A618" s="2">
        <v>52</v>
      </c>
      <c r="B618" s="3">
        <v>15</v>
      </c>
      <c r="C618" s="134">
        <v>561</v>
      </c>
      <c r="D618" s="3" t="s">
        <v>75</v>
      </c>
      <c r="E618" s="3"/>
      <c r="F618" s="4"/>
      <c r="G618" s="5" t="s">
        <v>1180</v>
      </c>
      <c r="H618" s="4" t="s">
        <v>396</v>
      </c>
      <c r="I618" s="3" t="s">
        <v>2823</v>
      </c>
      <c r="J618" s="3" t="s">
        <v>35</v>
      </c>
      <c r="K618" s="6">
        <v>100</v>
      </c>
      <c r="L618" s="6"/>
      <c r="M618" s="6">
        <f t="shared" si="75"/>
        <v>100</v>
      </c>
      <c r="N618" s="8" t="s">
        <v>2934</v>
      </c>
      <c r="O618" s="149"/>
    </row>
    <row r="619" spans="1:15" s="9" customFormat="1" ht="16.5" customHeight="1">
      <c r="A619" s="2">
        <v>52</v>
      </c>
      <c r="B619" s="3">
        <v>16</v>
      </c>
      <c r="C619" s="3">
        <v>562</v>
      </c>
      <c r="D619" s="3" t="s">
        <v>1181</v>
      </c>
      <c r="E619" s="3"/>
      <c r="F619" s="4"/>
      <c r="G619" s="5" t="s">
        <v>1182</v>
      </c>
      <c r="H619" s="4" t="s">
        <v>1183</v>
      </c>
      <c r="I619" s="3"/>
      <c r="J619" s="3" t="s">
        <v>1184</v>
      </c>
      <c r="K619" s="6">
        <f>20+100</f>
        <v>120</v>
      </c>
      <c r="L619" s="6"/>
      <c r="M619" s="6">
        <f t="shared" si="75"/>
        <v>120</v>
      </c>
      <c r="N619" s="8" t="s">
        <v>2934</v>
      </c>
      <c r="O619" s="149"/>
    </row>
    <row r="620" spans="1:15" s="9" customFormat="1" ht="16.5" customHeight="1">
      <c r="A620" s="2">
        <v>52</v>
      </c>
      <c r="B620" s="3">
        <v>17</v>
      </c>
      <c r="C620" s="134">
        <v>563</v>
      </c>
      <c r="D620" s="3" t="s">
        <v>14</v>
      </c>
      <c r="E620" s="3"/>
      <c r="F620" s="4"/>
      <c r="G620" s="5" t="s">
        <v>1185</v>
      </c>
      <c r="H620" s="4" t="s">
        <v>1186</v>
      </c>
      <c r="I620" s="3" t="s">
        <v>2824</v>
      </c>
      <c r="J620" s="3" t="s">
        <v>18</v>
      </c>
      <c r="K620" s="6">
        <v>1000</v>
      </c>
      <c r="L620" s="6"/>
      <c r="M620" s="6">
        <f t="shared" si="75"/>
        <v>1000</v>
      </c>
      <c r="N620" s="8" t="s">
        <v>2934</v>
      </c>
      <c r="O620" s="149"/>
    </row>
    <row r="621" spans="1:15" s="9" customFormat="1" ht="16.5" customHeight="1">
      <c r="A621" s="2">
        <v>52</v>
      </c>
      <c r="B621" s="3">
        <v>18</v>
      </c>
      <c r="C621" s="3">
        <v>564</v>
      </c>
      <c r="D621" s="3" t="s">
        <v>14</v>
      </c>
      <c r="E621" s="3"/>
      <c r="F621" s="4"/>
      <c r="G621" s="5" t="s">
        <v>1187</v>
      </c>
      <c r="H621" s="4" t="s">
        <v>1188</v>
      </c>
      <c r="I621" s="3" t="s">
        <v>2825</v>
      </c>
      <c r="J621" s="3" t="s">
        <v>18</v>
      </c>
      <c r="K621" s="6">
        <v>200</v>
      </c>
      <c r="L621" s="6"/>
      <c r="M621" s="6">
        <f t="shared" si="75"/>
        <v>200</v>
      </c>
      <c r="N621" s="8" t="s">
        <v>2934</v>
      </c>
      <c r="O621" s="149"/>
    </row>
    <row r="622" spans="1:15" s="9" customFormat="1" ht="16.5" customHeight="1">
      <c r="A622" s="2">
        <v>52</v>
      </c>
      <c r="B622" s="3">
        <v>19</v>
      </c>
      <c r="C622" s="134">
        <v>565</v>
      </c>
      <c r="D622" s="3" t="s">
        <v>14</v>
      </c>
      <c r="E622" s="3" t="s">
        <v>1705</v>
      </c>
      <c r="F622" s="4" t="s">
        <v>1189</v>
      </c>
      <c r="G622" s="5" t="s">
        <v>1190</v>
      </c>
      <c r="H622" s="4"/>
      <c r="I622" s="3" t="s">
        <v>3009</v>
      </c>
      <c r="J622" s="3" t="s">
        <v>35</v>
      </c>
      <c r="K622" s="6">
        <v>200</v>
      </c>
      <c r="L622" s="6">
        <v>300</v>
      </c>
      <c r="M622" s="6">
        <f t="shared" si="75"/>
        <v>500</v>
      </c>
      <c r="N622" s="8">
        <v>1510</v>
      </c>
      <c r="O622" s="149"/>
    </row>
    <row r="623" spans="1:15" s="9" customFormat="1" ht="16.5" customHeight="1">
      <c r="A623" s="2">
        <v>52</v>
      </c>
      <c r="B623" s="3">
        <v>20</v>
      </c>
      <c r="C623" s="3">
        <v>566</v>
      </c>
      <c r="D623" s="3"/>
      <c r="E623" s="3" t="s">
        <v>1929</v>
      </c>
      <c r="F623" s="4"/>
      <c r="G623" s="5" t="s">
        <v>1928</v>
      </c>
      <c r="H623" s="4" t="s">
        <v>1927</v>
      </c>
      <c r="I623" s="3" t="s">
        <v>3007</v>
      </c>
      <c r="J623" s="3" t="s">
        <v>85</v>
      </c>
      <c r="K623" s="6"/>
      <c r="L623" s="6">
        <f>8000+1500</f>
        <v>9500</v>
      </c>
      <c r="M623" s="6">
        <f t="shared" si="75"/>
        <v>9500</v>
      </c>
      <c r="N623" s="8" t="s">
        <v>1700</v>
      </c>
      <c r="O623" s="149"/>
    </row>
    <row r="624" spans="1:15" s="9" customFormat="1" ht="16.5" customHeight="1">
      <c r="A624" s="2">
        <v>52</v>
      </c>
      <c r="B624" s="3">
        <v>29</v>
      </c>
      <c r="C624" s="134">
        <v>567</v>
      </c>
      <c r="D624" s="3" t="s">
        <v>14</v>
      </c>
      <c r="E624" s="3"/>
      <c r="F624" s="4"/>
      <c r="G624" s="5" t="s">
        <v>1192</v>
      </c>
      <c r="H624" s="4"/>
      <c r="I624" s="3" t="s">
        <v>2833</v>
      </c>
      <c r="J624" s="3" t="s">
        <v>140</v>
      </c>
      <c r="K624" s="6">
        <v>80</v>
      </c>
      <c r="L624" s="6"/>
      <c r="M624" s="6">
        <f>K624+L624</f>
        <v>80</v>
      </c>
      <c r="N624" s="8" t="s">
        <v>2934</v>
      </c>
      <c r="O624" s="149"/>
    </row>
    <row r="625" spans="1:15" s="9" customFormat="1" ht="16.5" customHeight="1">
      <c r="A625" s="2">
        <v>52</v>
      </c>
      <c r="B625" s="3">
        <v>21</v>
      </c>
      <c r="C625" s="3">
        <v>568</v>
      </c>
      <c r="D625" s="3"/>
      <c r="E625" s="3" t="s">
        <v>488</v>
      </c>
      <c r="F625" s="4"/>
      <c r="G625" s="5" t="s">
        <v>1926</v>
      </c>
      <c r="H625" s="4" t="s">
        <v>129</v>
      </c>
      <c r="I625" s="3" t="s">
        <v>2826</v>
      </c>
      <c r="J625" s="3" t="s">
        <v>85</v>
      </c>
      <c r="K625" s="6"/>
      <c r="L625" s="6">
        <v>2000</v>
      </c>
      <c r="M625" s="6">
        <f t="shared" si="75"/>
        <v>2000</v>
      </c>
      <c r="N625" s="8" t="s">
        <v>1700</v>
      </c>
      <c r="O625" s="149"/>
    </row>
    <row r="626" spans="1:15" s="9" customFormat="1" ht="16.5" customHeight="1">
      <c r="A626" s="2">
        <v>52</v>
      </c>
      <c r="B626" s="3">
        <v>22</v>
      </c>
      <c r="C626" s="134">
        <v>569</v>
      </c>
      <c r="D626" s="3"/>
      <c r="E626" s="3" t="s">
        <v>488</v>
      </c>
      <c r="F626" s="4"/>
      <c r="G626" s="5" t="s">
        <v>1925</v>
      </c>
      <c r="H626" s="4" t="s">
        <v>1924</v>
      </c>
      <c r="I626" s="3" t="s">
        <v>2827</v>
      </c>
      <c r="J626" s="3" t="s">
        <v>85</v>
      </c>
      <c r="K626" s="6"/>
      <c r="L626" s="6">
        <v>20</v>
      </c>
      <c r="M626" s="6">
        <f t="shared" ref="M626:M664" si="76">K626+L626</f>
        <v>20</v>
      </c>
      <c r="N626" s="8" t="s">
        <v>1700</v>
      </c>
      <c r="O626" s="149"/>
    </row>
    <row r="627" spans="1:15" s="9" customFormat="1" ht="16.5" customHeight="1">
      <c r="A627" s="2">
        <v>52</v>
      </c>
      <c r="B627" s="3">
        <v>23</v>
      </c>
      <c r="C627" s="3">
        <v>570</v>
      </c>
      <c r="D627" s="3"/>
      <c r="E627" s="3" t="s">
        <v>488</v>
      </c>
      <c r="F627" s="4"/>
      <c r="G627" s="5" t="s">
        <v>1937</v>
      </c>
      <c r="H627" s="4" t="s">
        <v>84</v>
      </c>
      <c r="I627" s="3" t="s">
        <v>2828</v>
      </c>
      <c r="J627" s="3" t="s">
        <v>85</v>
      </c>
      <c r="K627" s="6"/>
      <c r="L627" s="6">
        <v>260</v>
      </c>
      <c r="M627" s="6">
        <f t="shared" si="76"/>
        <v>260</v>
      </c>
      <c r="N627" s="8" t="s">
        <v>1700</v>
      </c>
      <c r="O627" s="149"/>
    </row>
    <row r="628" spans="1:15" s="9" customFormat="1" ht="16.5" customHeight="1">
      <c r="A628" s="2">
        <v>52</v>
      </c>
      <c r="B628" s="3">
        <v>24</v>
      </c>
      <c r="C628" s="134">
        <v>571</v>
      </c>
      <c r="D628" s="3"/>
      <c r="E628" s="3" t="s">
        <v>488</v>
      </c>
      <c r="F628" s="4"/>
      <c r="G628" s="5" t="s">
        <v>1936</v>
      </c>
      <c r="H628" s="4" t="s">
        <v>1935</v>
      </c>
      <c r="I628" s="3" t="s">
        <v>2829</v>
      </c>
      <c r="J628" s="3" t="s">
        <v>85</v>
      </c>
      <c r="K628" s="6"/>
      <c r="L628" s="6">
        <v>200</v>
      </c>
      <c r="M628" s="6">
        <f t="shared" si="76"/>
        <v>200</v>
      </c>
      <c r="N628" s="8" t="s">
        <v>1700</v>
      </c>
      <c r="O628" s="149"/>
    </row>
    <row r="629" spans="1:15" s="9" customFormat="1" ht="16.5" customHeight="1">
      <c r="A629" s="2">
        <v>52</v>
      </c>
      <c r="B629" s="3">
        <v>25</v>
      </c>
      <c r="C629" s="3">
        <v>572</v>
      </c>
      <c r="D629" s="3"/>
      <c r="E629" s="3" t="s">
        <v>488</v>
      </c>
      <c r="F629" s="4"/>
      <c r="G629" s="5" t="s">
        <v>1933</v>
      </c>
      <c r="H629" s="4" t="s">
        <v>84</v>
      </c>
      <c r="I629" s="3" t="s">
        <v>2830</v>
      </c>
      <c r="J629" s="3" t="s">
        <v>85</v>
      </c>
      <c r="K629" s="6"/>
      <c r="L629" s="6">
        <v>200</v>
      </c>
      <c r="M629" s="6">
        <f t="shared" si="76"/>
        <v>200</v>
      </c>
      <c r="N629" s="8" t="s">
        <v>1700</v>
      </c>
      <c r="O629" s="149"/>
    </row>
    <row r="630" spans="1:15" s="9" customFormat="1" ht="16.5" customHeight="1">
      <c r="A630" s="2">
        <v>52</v>
      </c>
      <c r="B630" s="3">
        <v>26</v>
      </c>
      <c r="C630" s="134">
        <v>573</v>
      </c>
      <c r="D630" s="3"/>
      <c r="E630" s="3" t="s">
        <v>488</v>
      </c>
      <c r="F630" s="4"/>
      <c r="G630" s="5" t="s">
        <v>1932</v>
      </c>
      <c r="H630" s="4" t="s">
        <v>1931</v>
      </c>
      <c r="I630" s="3" t="s">
        <v>2831</v>
      </c>
      <c r="J630" s="3" t="s">
        <v>85</v>
      </c>
      <c r="K630" s="6"/>
      <c r="L630" s="6">
        <v>3240</v>
      </c>
      <c r="M630" s="6">
        <f t="shared" si="76"/>
        <v>3240</v>
      </c>
      <c r="N630" s="8" t="s">
        <v>1700</v>
      </c>
      <c r="O630" s="149"/>
    </row>
    <row r="631" spans="1:15" s="9" customFormat="1" ht="16.5" customHeight="1">
      <c r="A631" s="2">
        <v>52</v>
      </c>
      <c r="B631" s="3">
        <v>27</v>
      </c>
      <c r="C631" s="3">
        <v>574</v>
      </c>
      <c r="D631" s="3"/>
      <c r="E631" s="3" t="s">
        <v>488</v>
      </c>
      <c r="F631" s="4" t="s">
        <v>1938</v>
      </c>
      <c r="G631" s="5" t="s">
        <v>1939</v>
      </c>
      <c r="H631" s="4" t="s">
        <v>84</v>
      </c>
      <c r="I631" s="3" t="s">
        <v>2832</v>
      </c>
      <c r="J631" s="3" t="s">
        <v>85</v>
      </c>
      <c r="K631" s="6"/>
      <c r="L631" s="6">
        <v>140</v>
      </c>
      <c r="M631" s="6">
        <f t="shared" si="76"/>
        <v>140</v>
      </c>
      <c r="N631" s="8" t="s">
        <v>1700</v>
      </c>
      <c r="O631" s="149"/>
    </row>
    <row r="632" spans="1:15" s="9" customFormat="1" ht="16.5" customHeight="1">
      <c r="A632" s="2">
        <v>52</v>
      </c>
      <c r="B632" s="3">
        <v>28</v>
      </c>
      <c r="C632" s="134">
        <v>575</v>
      </c>
      <c r="D632" s="3" t="s">
        <v>14</v>
      </c>
      <c r="E632" s="3" t="s">
        <v>2075</v>
      </c>
      <c r="F632" s="4"/>
      <c r="G632" s="5" t="s">
        <v>1191</v>
      </c>
      <c r="H632" s="4"/>
      <c r="I632" s="3" t="s">
        <v>2822</v>
      </c>
      <c r="J632" s="3" t="s">
        <v>35</v>
      </c>
      <c r="K632" s="6">
        <v>2500</v>
      </c>
      <c r="L632" s="6">
        <v>1650</v>
      </c>
      <c r="M632" s="6">
        <f t="shared" si="76"/>
        <v>4150</v>
      </c>
      <c r="N632" s="8" t="s">
        <v>2934</v>
      </c>
      <c r="O632" s="149"/>
    </row>
    <row r="633" spans="1:15" s="9" customFormat="1" ht="16.5" customHeight="1">
      <c r="A633" s="2">
        <v>52</v>
      </c>
      <c r="B633" s="3">
        <v>30</v>
      </c>
      <c r="C633" s="3">
        <v>576</v>
      </c>
      <c r="D633" s="3" t="s">
        <v>567</v>
      </c>
      <c r="E633" s="3"/>
      <c r="F633" s="4"/>
      <c r="G633" s="5" t="s">
        <v>1193</v>
      </c>
      <c r="H633" s="4"/>
      <c r="I633" s="3"/>
      <c r="J633" s="3" t="s">
        <v>28</v>
      </c>
      <c r="K633" s="6">
        <v>50</v>
      </c>
      <c r="L633" s="6"/>
      <c r="M633" s="6">
        <f t="shared" si="76"/>
        <v>50</v>
      </c>
      <c r="N633" s="8" t="s">
        <v>2934</v>
      </c>
      <c r="O633" s="149"/>
    </row>
    <row r="634" spans="1:15" s="9" customFormat="1" ht="16.5" customHeight="1">
      <c r="A634" s="2">
        <v>52</v>
      </c>
      <c r="B634" s="3">
        <v>31</v>
      </c>
      <c r="C634" s="134">
        <v>577</v>
      </c>
      <c r="D634" s="3" t="s">
        <v>567</v>
      </c>
      <c r="E634" s="3"/>
      <c r="F634" s="4"/>
      <c r="G634" s="5" t="s">
        <v>1194</v>
      </c>
      <c r="H634" s="4" t="s">
        <v>1195</v>
      </c>
      <c r="I634" s="3"/>
      <c r="J634" s="3" t="s">
        <v>85</v>
      </c>
      <c r="K634" s="6">
        <v>20</v>
      </c>
      <c r="L634" s="6"/>
      <c r="M634" s="6">
        <f t="shared" si="76"/>
        <v>20</v>
      </c>
      <c r="N634" s="8" t="s">
        <v>2934</v>
      </c>
      <c r="O634" s="149"/>
    </row>
    <row r="635" spans="1:15" s="9" customFormat="1" ht="16.5" customHeight="1">
      <c r="A635" s="2">
        <v>52</v>
      </c>
      <c r="B635" s="3">
        <v>32</v>
      </c>
      <c r="C635" s="3">
        <v>578</v>
      </c>
      <c r="D635" s="3" t="s">
        <v>14</v>
      </c>
      <c r="E635" s="3"/>
      <c r="F635" s="4"/>
      <c r="G635" s="5" t="s">
        <v>1196</v>
      </c>
      <c r="H635" s="4" t="s">
        <v>1197</v>
      </c>
      <c r="I635" s="3" t="s">
        <v>2834</v>
      </c>
      <c r="J635" s="3" t="s">
        <v>35</v>
      </c>
      <c r="K635" s="6">
        <v>450</v>
      </c>
      <c r="L635" s="6">
        <v>500</v>
      </c>
      <c r="M635" s="6">
        <f t="shared" si="76"/>
        <v>950</v>
      </c>
      <c r="N635" s="8" t="s">
        <v>2934</v>
      </c>
      <c r="O635" s="149"/>
    </row>
    <row r="636" spans="1:15" s="9" customFormat="1" ht="16.5" customHeight="1">
      <c r="A636" s="2">
        <v>52</v>
      </c>
      <c r="B636" s="3">
        <v>33</v>
      </c>
      <c r="C636" s="134">
        <v>579</v>
      </c>
      <c r="D636" s="3" t="s">
        <v>14</v>
      </c>
      <c r="E636" s="3"/>
      <c r="F636" s="4"/>
      <c r="G636" s="5" t="s">
        <v>1287</v>
      </c>
      <c r="H636" s="4" t="s">
        <v>396</v>
      </c>
      <c r="I636" s="3" t="s">
        <v>2835</v>
      </c>
      <c r="J636" s="3" t="s">
        <v>35</v>
      </c>
      <c r="K636" s="6">
        <v>2000</v>
      </c>
      <c r="L636" s="6"/>
      <c r="M636" s="6">
        <f t="shared" si="76"/>
        <v>2000</v>
      </c>
      <c r="N636" s="8" t="s">
        <v>2934</v>
      </c>
      <c r="O636" s="149"/>
    </row>
    <row r="637" spans="1:15" s="9" customFormat="1" ht="16.5" customHeight="1">
      <c r="A637" s="2">
        <v>52</v>
      </c>
      <c r="B637" s="3">
        <v>34</v>
      </c>
      <c r="C637" s="3">
        <v>580</v>
      </c>
      <c r="D637" s="3" t="s">
        <v>14</v>
      </c>
      <c r="E637" s="3"/>
      <c r="F637" s="4" t="s">
        <v>1288</v>
      </c>
      <c r="G637" s="5" t="s">
        <v>1289</v>
      </c>
      <c r="H637" s="4" t="s">
        <v>1290</v>
      </c>
      <c r="I637" s="3" t="s">
        <v>2836</v>
      </c>
      <c r="J637" s="3" t="s">
        <v>35</v>
      </c>
      <c r="K637" s="6">
        <v>50</v>
      </c>
      <c r="L637" s="6">
        <v>30</v>
      </c>
      <c r="M637" s="6">
        <f t="shared" si="76"/>
        <v>80</v>
      </c>
      <c r="N637" s="8">
        <v>5740</v>
      </c>
      <c r="O637" s="149"/>
    </row>
    <row r="638" spans="1:15" s="9" customFormat="1" ht="16.5" customHeight="1">
      <c r="A638" s="2">
        <v>52</v>
      </c>
      <c r="B638" s="3">
        <v>35</v>
      </c>
      <c r="C638" s="134">
        <v>581</v>
      </c>
      <c r="D638" s="3" t="s">
        <v>14</v>
      </c>
      <c r="E638" s="3"/>
      <c r="F638" s="4"/>
      <c r="G638" s="5" t="s">
        <v>1291</v>
      </c>
      <c r="H638" s="4" t="s">
        <v>396</v>
      </c>
      <c r="I638" s="3" t="s">
        <v>2837</v>
      </c>
      <c r="J638" s="3" t="s">
        <v>35</v>
      </c>
      <c r="K638" s="6">
        <v>200</v>
      </c>
      <c r="L638" s="6">
        <v>500</v>
      </c>
      <c r="M638" s="6">
        <f t="shared" si="76"/>
        <v>700</v>
      </c>
      <c r="N638" s="8" t="s">
        <v>2934</v>
      </c>
      <c r="O638" s="149"/>
    </row>
    <row r="639" spans="1:15" s="9" customFormat="1" ht="16.5" customHeight="1">
      <c r="A639" s="2">
        <v>52</v>
      </c>
      <c r="B639" s="3">
        <v>36</v>
      </c>
      <c r="C639" s="3">
        <v>582</v>
      </c>
      <c r="D639" s="3"/>
      <c r="E639" s="3" t="s">
        <v>488</v>
      </c>
      <c r="F639" s="4"/>
      <c r="G639" s="5" t="s">
        <v>2090</v>
      </c>
      <c r="H639" s="4" t="s">
        <v>2089</v>
      </c>
      <c r="I639" s="3" t="s">
        <v>2838</v>
      </c>
      <c r="J639" s="3" t="s">
        <v>85</v>
      </c>
      <c r="K639" s="6"/>
      <c r="L639" s="6">
        <v>2400</v>
      </c>
      <c r="M639" s="6">
        <f t="shared" si="76"/>
        <v>2400</v>
      </c>
      <c r="N639" s="8" t="s">
        <v>1700</v>
      </c>
      <c r="O639" s="149"/>
    </row>
    <row r="640" spans="1:15" s="9" customFormat="1" ht="16.5" customHeight="1">
      <c r="A640" s="2">
        <v>52</v>
      </c>
      <c r="B640" s="3">
        <v>37</v>
      </c>
      <c r="C640" s="134">
        <v>583</v>
      </c>
      <c r="D640" s="3"/>
      <c r="E640" s="3" t="s">
        <v>488</v>
      </c>
      <c r="F640" s="4"/>
      <c r="G640" s="5" t="s">
        <v>2088</v>
      </c>
      <c r="H640" s="4" t="s">
        <v>2087</v>
      </c>
      <c r="I640" s="3" t="s">
        <v>2839</v>
      </c>
      <c r="J640" s="3" t="s">
        <v>85</v>
      </c>
      <c r="K640" s="6"/>
      <c r="L640" s="6">
        <v>25000</v>
      </c>
      <c r="M640" s="6">
        <f t="shared" si="76"/>
        <v>25000</v>
      </c>
      <c r="N640" s="8" t="s">
        <v>1700</v>
      </c>
      <c r="O640" s="149"/>
    </row>
    <row r="641" spans="1:15" s="9" customFormat="1" ht="16.5" customHeight="1">
      <c r="A641" s="2">
        <v>52</v>
      </c>
      <c r="B641" s="3">
        <v>38</v>
      </c>
      <c r="C641" s="3">
        <v>584</v>
      </c>
      <c r="D641" s="3"/>
      <c r="E641" s="3" t="s">
        <v>488</v>
      </c>
      <c r="F641" s="4"/>
      <c r="G641" s="5" t="s">
        <v>2086</v>
      </c>
      <c r="H641" s="4"/>
      <c r="I641" s="3" t="s">
        <v>2840</v>
      </c>
      <c r="J641" s="3" t="s">
        <v>85</v>
      </c>
      <c r="K641" s="6"/>
      <c r="L641" s="6">
        <v>3800</v>
      </c>
      <c r="M641" s="6">
        <f t="shared" si="76"/>
        <v>3800</v>
      </c>
      <c r="N641" s="8" t="s">
        <v>1700</v>
      </c>
      <c r="O641" s="149"/>
    </row>
    <row r="642" spans="1:15" s="9" customFormat="1" ht="16.5" customHeight="1">
      <c r="A642" s="2">
        <v>52</v>
      </c>
      <c r="B642" s="3">
        <v>39</v>
      </c>
      <c r="C642" s="134">
        <v>585</v>
      </c>
      <c r="D642" s="3"/>
      <c r="E642" s="3" t="s">
        <v>488</v>
      </c>
      <c r="F642" s="4"/>
      <c r="G642" s="5" t="s">
        <v>2085</v>
      </c>
      <c r="H642" s="4" t="s">
        <v>2084</v>
      </c>
      <c r="I642" s="3" t="s">
        <v>2841</v>
      </c>
      <c r="J642" s="3" t="s">
        <v>85</v>
      </c>
      <c r="K642" s="6"/>
      <c r="L642" s="6">
        <v>500</v>
      </c>
      <c r="M642" s="6">
        <f t="shared" si="76"/>
        <v>500</v>
      </c>
      <c r="N642" s="8" t="s">
        <v>1700</v>
      </c>
      <c r="O642" s="149"/>
    </row>
    <row r="643" spans="1:15" s="9" customFormat="1" ht="16.5" customHeight="1">
      <c r="A643" s="2">
        <v>52</v>
      </c>
      <c r="B643" s="3">
        <v>40</v>
      </c>
      <c r="C643" s="3">
        <v>586</v>
      </c>
      <c r="D643" s="3"/>
      <c r="E643" s="3" t="s">
        <v>488</v>
      </c>
      <c r="F643" s="4"/>
      <c r="G643" s="5" t="s">
        <v>2083</v>
      </c>
      <c r="H643" s="4" t="s">
        <v>2082</v>
      </c>
      <c r="I643" s="3" t="s">
        <v>2842</v>
      </c>
      <c r="J643" s="3" t="s">
        <v>85</v>
      </c>
      <c r="K643" s="6"/>
      <c r="L643" s="6">
        <v>8000</v>
      </c>
      <c r="M643" s="6">
        <f t="shared" si="76"/>
        <v>8000</v>
      </c>
      <c r="N643" s="8" t="s">
        <v>1700</v>
      </c>
      <c r="O643" s="149"/>
    </row>
    <row r="644" spans="1:15" s="9" customFormat="1" ht="16.5" customHeight="1">
      <c r="A644" s="2">
        <v>52</v>
      </c>
      <c r="B644" s="3">
        <v>41</v>
      </c>
      <c r="C644" s="134">
        <v>587</v>
      </c>
      <c r="D644" s="3"/>
      <c r="E644" s="3" t="s">
        <v>488</v>
      </c>
      <c r="F644" s="4"/>
      <c r="G644" s="5" t="s">
        <v>2081</v>
      </c>
      <c r="H644" s="4"/>
      <c r="I644" s="3" t="s">
        <v>2843</v>
      </c>
      <c r="J644" s="3" t="s">
        <v>85</v>
      </c>
      <c r="K644" s="6"/>
      <c r="L644" s="6">
        <v>10000</v>
      </c>
      <c r="M644" s="6">
        <f t="shared" si="76"/>
        <v>10000</v>
      </c>
      <c r="N644" s="8" t="s">
        <v>1700</v>
      </c>
      <c r="O644" s="149"/>
    </row>
    <row r="645" spans="1:15" s="9" customFormat="1" ht="16.5" customHeight="1">
      <c r="A645" s="2">
        <v>52</v>
      </c>
      <c r="B645" s="3">
        <v>42</v>
      </c>
      <c r="C645" s="3">
        <v>588</v>
      </c>
      <c r="D645" s="3" t="s">
        <v>14</v>
      </c>
      <c r="E645" s="3"/>
      <c r="F645" s="4"/>
      <c r="G645" s="5" t="s">
        <v>1292</v>
      </c>
      <c r="H645" s="4" t="s">
        <v>84</v>
      </c>
      <c r="I645" s="3" t="s">
        <v>2844</v>
      </c>
      <c r="J645" s="3" t="s">
        <v>35</v>
      </c>
      <c r="K645" s="6">
        <v>700</v>
      </c>
      <c r="L645" s="6"/>
      <c r="M645" s="6">
        <f t="shared" si="76"/>
        <v>700</v>
      </c>
      <c r="N645" s="8" t="s">
        <v>2934</v>
      </c>
      <c r="O645" s="149"/>
    </row>
    <row r="646" spans="1:15" s="9" customFormat="1" ht="16.5" customHeight="1">
      <c r="A646" s="2">
        <v>52</v>
      </c>
      <c r="B646" s="3">
        <v>43</v>
      </c>
      <c r="C646" s="134">
        <v>589</v>
      </c>
      <c r="D646" s="3" t="s">
        <v>14</v>
      </c>
      <c r="E646" s="3"/>
      <c r="F646" s="4"/>
      <c r="G646" s="5" t="s">
        <v>2992</v>
      </c>
      <c r="H646" s="4" t="s">
        <v>396</v>
      </c>
      <c r="I646" s="3" t="s">
        <v>2845</v>
      </c>
      <c r="J646" s="3" t="s">
        <v>35</v>
      </c>
      <c r="K646" s="6">
        <v>800</v>
      </c>
      <c r="L646" s="6"/>
      <c r="M646" s="6">
        <f t="shared" si="76"/>
        <v>800</v>
      </c>
      <c r="N646" s="8" t="s">
        <v>2934</v>
      </c>
      <c r="O646" s="149"/>
    </row>
    <row r="647" spans="1:15" s="9" customFormat="1" ht="16.5" customHeight="1">
      <c r="A647" s="2">
        <v>52</v>
      </c>
      <c r="B647" s="3">
        <v>44</v>
      </c>
      <c r="C647" s="3">
        <v>590</v>
      </c>
      <c r="D647" s="3" t="s">
        <v>14</v>
      </c>
      <c r="E647" s="3"/>
      <c r="F647" s="4" t="s">
        <v>1293</v>
      </c>
      <c r="G647" s="5" t="s">
        <v>1294</v>
      </c>
      <c r="H647" s="4" t="s">
        <v>1295</v>
      </c>
      <c r="I647" s="3" t="s">
        <v>2846</v>
      </c>
      <c r="J647" s="3" t="s">
        <v>35</v>
      </c>
      <c r="K647" s="6">
        <v>1500</v>
      </c>
      <c r="L647" s="6">
        <v>800</v>
      </c>
      <c r="M647" s="6">
        <f t="shared" si="76"/>
        <v>2300</v>
      </c>
      <c r="N647" s="8">
        <v>1310</v>
      </c>
      <c r="O647" s="149"/>
    </row>
    <row r="648" spans="1:15" s="9" customFormat="1" ht="16.5" customHeight="1">
      <c r="A648" s="2">
        <v>52</v>
      </c>
      <c r="B648" s="3">
        <v>45</v>
      </c>
      <c r="C648" s="134">
        <v>591</v>
      </c>
      <c r="D648" s="3" t="s">
        <v>14</v>
      </c>
      <c r="E648" s="3"/>
      <c r="F648" s="4" t="s">
        <v>1296</v>
      </c>
      <c r="G648" s="5" t="s">
        <v>1297</v>
      </c>
      <c r="H648" s="4" t="s">
        <v>396</v>
      </c>
      <c r="I648" s="3" t="s">
        <v>2847</v>
      </c>
      <c r="J648" s="3" t="s">
        <v>35</v>
      </c>
      <c r="K648" s="6">
        <v>700</v>
      </c>
      <c r="L648" s="6">
        <v>400</v>
      </c>
      <c r="M648" s="6">
        <f t="shared" si="76"/>
        <v>1100</v>
      </c>
      <c r="N648" s="8">
        <v>4260</v>
      </c>
      <c r="O648" s="149"/>
    </row>
    <row r="649" spans="1:15" s="9" customFormat="1" ht="16.5" customHeight="1">
      <c r="A649" s="2">
        <v>52</v>
      </c>
      <c r="B649" s="3">
        <v>46</v>
      </c>
      <c r="C649" s="3">
        <v>592</v>
      </c>
      <c r="D649" s="3" t="s">
        <v>14</v>
      </c>
      <c r="E649" s="3"/>
      <c r="F649" s="4"/>
      <c r="G649" s="5" t="s">
        <v>1298</v>
      </c>
      <c r="H649" s="4"/>
      <c r="I649" s="3" t="s">
        <v>2848</v>
      </c>
      <c r="J649" s="3" t="s">
        <v>35</v>
      </c>
      <c r="K649" s="6">
        <v>8000</v>
      </c>
      <c r="L649" s="6"/>
      <c r="M649" s="6">
        <f t="shared" si="76"/>
        <v>8000</v>
      </c>
      <c r="N649" s="8" t="s">
        <v>2934</v>
      </c>
      <c r="O649" s="149"/>
    </row>
    <row r="650" spans="1:15" s="9" customFormat="1" ht="16.5" customHeight="1">
      <c r="A650" s="2">
        <v>52</v>
      </c>
      <c r="B650" s="3">
        <v>47</v>
      </c>
      <c r="C650" s="134">
        <v>593</v>
      </c>
      <c r="D650" s="3" t="s">
        <v>14</v>
      </c>
      <c r="E650" s="3"/>
      <c r="F650" s="4"/>
      <c r="G650" s="5" t="s">
        <v>1213</v>
      </c>
      <c r="H650" s="4" t="s">
        <v>1214</v>
      </c>
      <c r="I650" s="3" t="s">
        <v>2849</v>
      </c>
      <c r="J650" s="3" t="s">
        <v>1215</v>
      </c>
      <c r="K650" s="6">
        <v>40</v>
      </c>
      <c r="L650" s="6"/>
      <c r="M650" s="6">
        <f t="shared" si="76"/>
        <v>40</v>
      </c>
      <c r="N650" s="8" t="s">
        <v>2934</v>
      </c>
      <c r="O650" s="149"/>
    </row>
    <row r="651" spans="1:15" s="9" customFormat="1" ht="16.5" customHeight="1">
      <c r="A651" s="2">
        <v>52</v>
      </c>
      <c r="B651" s="3">
        <v>48</v>
      </c>
      <c r="C651" s="3">
        <v>594</v>
      </c>
      <c r="D651" s="3" t="s">
        <v>14</v>
      </c>
      <c r="E651" s="3"/>
      <c r="F651" s="4" t="s">
        <v>1216</v>
      </c>
      <c r="G651" s="5" t="s">
        <v>1217</v>
      </c>
      <c r="H651" s="4" t="s">
        <v>84</v>
      </c>
      <c r="I651" s="3" t="s">
        <v>2850</v>
      </c>
      <c r="J651" s="3" t="s">
        <v>35</v>
      </c>
      <c r="K651" s="6">
        <v>10</v>
      </c>
      <c r="L651" s="6"/>
      <c r="M651" s="6">
        <f t="shared" si="76"/>
        <v>10</v>
      </c>
      <c r="N651" s="8">
        <v>1760</v>
      </c>
      <c r="O651" s="149"/>
    </row>
    <row r="652" spans="1:15" s="9" customFormat="1" ht="16.5" customHeight="1">
      <c r="A652" s="2">
        <v>52</v>
      </c>
      <c r="B652" s="3">
        <v>49</v>
      </c>
      <c r="C652" s="134">
        <v>595</v>
      </c>
      <c r="D652" s="3"/>
      <c r="E652" s="3" t="s">
        <v>488</v>
      </c>
      <c r="F652" s="4" t="s">
        <v>2078</v>
      </c>
      <c r="G652" s="5" t="s">
        <v>2077</v>
      </c>
      <c r="H652" s="4" t="s">
        <v>84</v>
      </c>
      <c r="I652" s="3" t="s">
        <v>2851</v>
      </c>
      <c r="J652" s="3" t="s">
        <v>85</v>
      </c>
      <c r="K652" s="6"/>
      <c r="L652" s="6">
        <v>3000</v>
      </c>
      <c r="M652" s="6">
        <f t="shared" si="76"/>
        <v>3000</v>
      </c>
      <c r="N652" s="8">
        <v>1760</v>
      </c>
      <c r="O652" s="149"/>
    </row>
    <row r="653" spans="1:15" s="9" customFormat="1" ht="16.5" customHeight="1">
      <c r="A653" s="2">
        <v>52</v>
      </c>
      <c r="B653" s="3">
        <v>50</v>
      </c>
      <c r="C653" s="3">
        <v>596</v>
      </c>
      <c r="D653" s="3" t="s">
        <v>14</v>
      </c>
      <c r="E653" s="3"/>
      <c r="F653" s="4"/>
      <c r="G653" s="5" t="s">
        <v>1218</v>
      </c>
      <c r="H653" s="4" t="s">
        <v>1219</v>
      </c>
      <c r="I653" s="3" t="s">
        <v>2852</v>
      </c>
      <c r="J653" s="3" t="s">
        <v>35</v>
      </c>
      <c r="K653" s="6">
        <v>20000</v>
      </c>
      <c r="L653" s="6"/>
      <c r="M653" s="6">
        <f t="shared" si="76"/>
        <v>20000</v>
      </c>
      <c r="N653" s="8" t="s">
        <v>2934</v>
      </c>
      <c r="O653" s="149"/>
    </row>
    <row r="654" spans="1:15" s="9" customFormat="1" ht="16.5" customHeight="1">
      <c r="A654" s="2">
        <v>52</v>
      </c>
      <c r="B654" s="3">
        <v>51</v>
      </c>
      <c r="C654" s="134">
        <v>597</v>
      </c>
      <c r="D654" s="3" t="s">
        <v>75</v>
      </c>
      <c r="E654" s="3"/>
      <c r="F654" s="4" t="s">
        <v>1220</v>
      </c>
      <c r="G654" s="5" t="s">
        <v>1221</v>
      </c>
      <c r="H654" s="4" t="s">
        <v>396</v>
      </c>
      <c r="I654" s="3" t="s">
        <v>2853</v>
      </c>
      <c r="J654" s="3" t="s">
        <v>35</v>
      </c>
      <c r="K654" s="6">
        <v>150</v>
      </c>
      <c r="L654" s="6"/>
      <c r="M654" s="6">
        <f t="shared" si="76"/>
        <v>150</v>
      </c>
      <c r="N654" s="8">
        <v>4480</v>
      </c>
      <c r="O654" s="149"/>
    </row>
    <row r="655" spans="1:15" s="9" customFormat="1" ht="16.5" customHeight="1">
      <c r="A655" s="2">
        <v>52</v>
      </c>
      <c r="B655" s="3">
        <v>52</v>
      </c>
      <c r="C655" s="3">
        <v>598</v>
      </c>
      <c r="D655" s="3" t="s">
        <v>14</v>
      </c>
      <c r="E655" s="3"/>
      <c r="F655" s="4" t="s">
        <v>1222</v>
      </c>
      <c r="G655" s="5" t="s">
        <v>1223</v>
      </c>
      <c r="H655" s="4" t="s">
        <v>84</v>
      </c>
      <c r="I655" s="3" t="s">
        <v>2854</v>
      </c>
      <c r="J655" s="3" t="s">
        <v>35</v>
      </c>
      <c r="K655" s="6">
        <v>50</v>
      </c>
      <c r="L655" s="6"/>
      <c r="M655" s="6">
        <f t="shared" si="76"/>
        <v>50</v>
      </c>
      <c r="N655" s="8">
        <v>2670</v>
      </c>
      <c r="O655" s="149"/>
    </row>
    <row r="656" spans="1:15" s="9" customFormat="1" ht="16.5" customHeight="1">
      <c r="A656" s="2">
        <v>52</v>
      </c>
      <c r="B656" s="3">
        <v>53</v>
      </c>
      <c r="C656" s="134">
        <v>599</v>
      </c>
      <c r="D656" s="3"/>
      <c r="E656" s="3" t="s">
        <v>488</v>
      </c>
      <c r="F656" s="4" t="s">
        <v>2080</v>
      </c>
      <c r="G656" s="5" t="s">
        <v>2079</v>
      </c>
      <c r="H656" s="4" t="s">
        <v>84</v>
      </c>
      <c r="I656" s="3" t="s">
        <v>2851</v>
      </c>
      <c r="J656" s="3" t="s">
        <v>85</v>
      </c>
      <c r="K656" s="6"/>
      <c r="L656" s="6">
        <v>3300</v>
      </c>
      <c r="M656" s="6">
        <f t="shared" si="76"/>
        <v>3300</v>
      </c>
      <c r="N656" s="8">
        <v>2670</v>
      </c>
      <c r="O656" s="149"/>
    </row>
    <row r="657" spans="1:15" s="9" customFormat="1" ht="16.5" customHeight="1">
      <c r="A657" s="2">
        <v>52</v>
      </c>
      <c r="B657" s="3">
        <v>54</v>
      </c>
      <c r="C657" s="3">
        <v>600</v>
      </c>
      <c r="D657" s="3" t="s">
        <v>2523</v>
      </c>
      <c r="E657" s="3"/>
      <c r="F657" s="4" t="s">
        <v>2524</v>
      </c>
      <c r="G657" s="5" t="s">
        <v>2525</v>
      </c>
      <c r="H657" s="4" t="s">
        <v>84</v>
      </c>
      <c r="I657" s="3" t="s">
        <v>2855</v>
      </c>
      <c r="J657" s="3" t="s">
        <v>85</v>
      </c>
      <c r="K657" s="6">
        <v>50</v>
      </c>
      <c r="L657" s="6"/>
      <c r="M657" s="6">
        <f t="shared" si="76"/>
        <v>50</v>
      </c>
      <c r="N657" s="8">
        <v>7600</v>
      </c>
      <c r="O657" s="149"/>
    </row>
    <row r="658" spans="1:15" s="9" customFormat="1" ht="16.5" customHeight="1">
      <c r="A658" s="2">
        <v>52</v>
      </c>
      <c r="B658" s="3">
        <v>55</v>
      </c>
      <c r="C658" s="134">
        <v>601</v>
      </c>
      <c r="D658" s="3" t="s">
        <v>14</v>
      </c>
      <c r="E658" s="3"/>
      <c r="F658" s="4" t="s">
        <v>1226</v>
      </c>
      <c r="G658" s="5" t="s">
        <v>1227</v>
      </c>
      <c r="H658" s="4" t="s">
        <v>1228</v>
      </c>
      <c r="I658" s="3" t="s">
        <v>2856</v>
      </c>
      <c r="J658" s="3" t="s">
        <v>35</v>
      </c>
      <c r="K658" s="6">
        <v>2000</v>
      </c>
      <c r="L658" s="6"/>
      <c r="M658" s="6">
        <f t="shared" si="76"/>
        <v>2000</v>
      </c>
      <c r="N658" s="8">
        <v>3860</v>
      </c>
      <c r="O658" s="149"/>
    </row>
    <row r="659" spans="1:15" s="9" customFormat="1" ht="16.5" customHeight="1">
      <c r="A659" s="2">
        <v>52</v>
      </c>
      <c r="B659" s="3">
        <v>56</v>
      </c>
      <c r="C659" s="3">
        <v>602</v>
      </c>
      <c r="D659" s="3" t="s">
        <v>33</v>
      </c>
      <c r="E659" s="3"/>
      <c r="F659" s="4"/>
      <c r="G659" s="5" t="s">
        <v>1229</v>
      </c>
      <c r="H659" s="4" t="s">
        <v>1230</v>
      </c>
      <c r="I659" s="3" t="s">
        <v>2857</v>
      </c>
      <c r="J659" s="3" t="s">
        <v>35</v>
      </c>
      <c r="K659" s="6">
        <f>120+50</f>
        <v>170</v>
      </c>
      <c r="L659" s="6"/>
      <c r="M659" s="6">
        <f t="shared" si="76"/>
        <v>170</v>
      </c>
      <c r="N659" s="8" t="s">
        <v>2934</v>
      </c>
      <c r="O659" s="149"/>
    </row>
    <row r="660" spans="1:15" s="9" customFormat="1" ht="16.5" customHeight="1">
      <c r="A660" s="2">
        <v>52</v>
      </c>
      <c r="B660" s="3">
        <v>57</v>
      </c>
      <c r="C660" s="134">
        <v>603</v>
      </c>
      <c r="D660" s="3" t="s">
        <v>75</v>
      </c>
      <c r="E660" s="3"/>
      <c r="F660" s="4" t="s">
        <v>1231</v>
      </c>
      <c r="G660" s="5" t="s">
        <v>1232</v>
      </c>
      <c r="H660" s="4" t="s">
        <v>396</v>
      </c>
      <c r="I660" s="3" t="s">
        <v>2858</v>
      </c>
      <c r="J660" s="3" t="s">
        <v>35</v>
      </c>
      <c r="K660" s="6">
        <v>80</v>
      </c>
      <c r="L660" s="6"/>
      <c r="M660" s="6">
        <f t="shared" si="76"/>
        <v>80</v>
      </c>
      <c r="N660" s="8">
        <v>4480</v>
      </c>
      <c r="O660" s="149"/>
    </row>
    <row r="661" spans="1:15" s="9" customFormat="1" ht="16.5" customHeight="1">
      <c r="A661" s="2">
        <v>52</v>
      </c>
      <c r="B661" s="3">
        <v>58</v>
      </c>
      <c r="C661" s="3">
        <v>604</v>
      </c>
      <c r="D661" s="3" t="s">
        <v>33</v>
      </c>
      <c r="E661" s="3"/>
      <c r="F661" s="4" t="s">
        <v>1233</v>
      </c>
      <c r="G661" s="5" t="s">
        <v>1234</v>
      </c>
      <c r="H661" s="4" t="s">
        <v>1235</v>
      </c>
      <c r="I661" s="3" t="s">
        <v>2859</v>
      </c>
      <c r="J661" s="3" t="s">
        <v>35</v>
      </c>
      <c r="K661" s="6">
        <f>100+20</f>
        <v>120</v>
      </c>
      <c r="L661" s="6"/>
      <c r="M661" s="6">
        <f t="shared" si="76"/>
        <v>120</v>
      </c>
      <c r="N661" s="8">
        <v>3710</v>
      </c>
      <c r="O661" s="149"/>
    </row>
    <row r="662" spans="1:15" s="9" customFormat="1" ht="16.5" customHeight="1">
      <c r="A662" s="2">
        <v>52</v>
      </c>
      <c r="B662" s="3">
        <v>59</v>
      </c>
      <c r="C662" s="134">
        <v>605</v>
      </c>
      <c r="D662" s="3" t="s">
        <v>14</v>
      </c>
      <c r="E662" s="3"/>
      <c r="F662" s="4"/>
      <c r="G662" s="5" t="s">
        <v>1236</v>
      </c>
      <c r="H662" s="4" t="s">
        <v>396</v>
      </c>
      <c r="I662" s="3" t="s">
        <v>2860</v>
      </c>
      <c r="J662" s="3" t="s">
        <v>35</v>
      </c>
      <c r="K662" s="6">
        <v>20</v>
      </c>
      <c r="L662" s="6"/>
      <c r="M662" s="6">
        <f t="shared" si="76"/>
        <v>20</v>
      </c>
      <c r="N662" s="8" t="s">
        <v>2934</v>
      </c>
      <c r="O662" s="149"/>
    </row>
    <row r="663" spans="1:15" s="9" customFormat="1" ht="16.5" customHeight="1">
      <c r="A663" s="2">
        <v>52</v>
      </c>
      <c r="B663" s="3">
        <v>60</v>
      </c>
      <c r="C663" s="3">
        <v>606</v>
      </c>
      <c r="D663" s="3" t="s">
        <v>14</v>
      </c>
      <c r="E663" s="3"/>
      <c r="F663" s="4"/>
      <c r="G663" s="5" t="s">
        <v>1237</v>
      </c>
      <c r="H663" s="4" t="s">
        <v>1238</v>
      </c>
      <c r="I663" s="3" t="s">
        <v>2861</v>
      </c>
      <c r="J663" s="3" t="s">
        <v>35</v>
      </c>
      <c r="K663" s="6">
        <v>600</v>
      </c>
      <c r="L663" s="6"/>
      <c r="M663" s="6">
        <f t="shared" si="76"/>
        <v>600</v>
      </c>
      <c r="N663" s="8" t="s">
        <v>2934</v>
      </c>
      <c r="O663" s="149"/>
    </row>
    <row r="664" spans="1:15" s="9" customFormat="1" ht="16.5" customHeight="1">
      <c r="A664" s="160">
        <v>52</v>
      </c>
      <c r="B664" s="161">
        <v>61</v>
      </c>
      <c r="C664" s="134">
        <v>607</v>
      </c>
      <c r="D664" s="161" t="s">
        <v>14</v>
      </c>
      <c r="E664" s="161"/>
      <c r="F664" s="162"/>
      <c r="G664" s="164" t="s">
        <v>1243</v>
      </c>
      <c r="H664" s="162" t="s">
        <v>1244</v>
      </c>
      <c r="I664" s="161" t="s">
        <v>2862</v>
      </c>
      <c r="J664" s="161" t="s">
        <v>18</v>
      </c>
      <c r="K664" s="6">
        <v>100</v>
      </c>
      <c r="L664" s="6"/>
      <c r="M664" s="6">
        <f t="shared" si="76"/>
        <v>100</v>
      </c>
      <c r="N664" s="8" t="s">
        <v>2934</v>
      </c>
      <c r="O664" s="149"/>
    </row>
    <row r="665" spans="1:15" ht="16.5" customHeight="1">
      <c r="A665" s="14"/>
      <c r="B665" s="14"/>
      <c r="C665" s="14"/>
      <c r="D665" s="14"/>
      <c r="E665" s="14"/>
      <c r="F665" s="15"/>
      <c r="G665" s="16"/>
      <c r="H665" s="15"/>
      <c r="I665" s="15"/>
      <c r="J665" s="14"/>
      <c r="K665" s="159">
        <f>SUM(K604:K664)</f>
        <v>98542</v>
      </c>
      <c r="L665" s="157">
        <f t="shared" ref="L665:M665" si="77">SUM(L604:L664)</f>
        <v>76341</v>
      </c>
      <c r="M665" s="157">
        <f t="shared" si="77"/>
        <v>174883</v>
      </c>
      <c r="N665" s="17"/>
      <c r="O665" s="145"/>
    </row>
    <row r="666" spans="1:15" s="9" customFormat="1" ht="16.5" customHeight="1">
      <c r="A666" s="133">
        <v>53</v>
      </c>
      <c r="B666" s="134">
        <v>1</v>
      </c>
      <c r="C666" s="134">
        <v>608</v>
      </c>
      <c r="D666" s="134" t="s">
        <v>14</v>
      </c>
      <c r="E666" s="134"/>
      <c r="F666" s="137" t="s">
        <v>64</v>
      </c>
      <c r="G666" s="165" t="s">
        <v>65</v>
      </c>
      <c r="H666" s="137" t="s">
        <v>66</v>
      </c>
      <c r="I666" s="134" t="s">
        <v>2554</v>
      </c>
      <c r="J666" s="134" t="s">
        <v>35</v>
      </c>
      <c r="K666" s="6">
        <v>30</v>
      </c>
      <c r="L666" s="6"/>
      <c r="M666" s="6">
        <f t="shared" ref="M666:M689" si="78">K666+L666</f>
        <v>30</v>
      </c>
      <c r="N666" s="8">
        <v>5370</v>
      </c>
      <c r="O666" s="149"/>
    </row>
    <row r="667" spans="1:15" s="9" customFormat="1" ht="16.5" customHeight="1">
      <c r="A667" s="2">
        <v>53</v>
      </c>
      <c r="B667" s="3">
        <v>2</v>
      </c>
      <c r="C667" s="3">
        <v>609</v>
      </c>
      <c r="D667" s="3" t="s">
        <v>14</v>
      </c>
      <c r="E667" s="3"/>
      <c r="F667" s="4" t="s">
        <v>68</v>
      </c>
      <c r="G667" s="5" t="s">
        <v>65</v>
      </c>
      <c r="H667" s="4" t="s">
        <v>69</v>
      </c>
      <c r="I667" s="3" t="s">
        <v>2554</v>
      </c>
      <c r="J667" s="3" t="s">
        <v>35</v>
      </c>
      <c r="K667" s="6">
        <v>10</v>
      </c>
      <c r="L667" s="6"/>
      <c r="M667" s="6">
        <f t="shared" si="78"/>
        <v>10</v>
      </c>
      <c r="N667" s="8">
        <v>11300</v>
      </c>
      <c r="O667" s="149"/>
    </row>
    <row r="668" spans="1:15" s="9" customFormat="1" ht="16.5" customHeight="1">
      <c r="A668" s="2">
        <v>53</v>
      </c>
      <c r="B668" s="3">
        <v>3</v>
      </c>
      <c r="C668" s="134">
        <v>610</v>
      </c>
      <c r="D668" s="3" t="s">
        <v>14</v>
      </c>
      <c r="E668" s="3"/>
      <c r="F668" s="4" t="s">
        <v>70</v>
      </c>
      <c r="G668" s="5" t="s">
        <v>65</v>
      </c>
      <c r="H668" s="4" t="s">
        <v>71</v>
      </c>
      <c r="I668" s="3" t="s">
        <v>2554</v>
      </c>
      <c r="J668" s="3" t="s">
        <v>35</v>
      </c>
      <c r="K668" s="6">
        <v>20</v>
      </c>
      <c r="L668" s="6"/>
      <c r="M668" s="6">
        <f t="shared" si="78"/>
        <v>20</v>
      </c>
      <c r="N668" s="8">
        <v>3190</v>
      </c>
      <c r="O668" s="149"/>
    </row>
    <row r="669" spans="1:15" s="9" customFormat="1" ht="16.5" customHeight="1">
      <c r="A669" s="2">
        <v>53</v>
      </c>
      <c r="B669" s="3">
        <v>4</v>
      </c>
      <c r="C669" s="3">
        <v>611</v>
      </c>
      <c r="D669" s="3" t="s">
        <v>14</v>
      </c>
      <c r="E669" s="3"/>
      <c r="F669" s="4" t="s">
        <v>72</v>
      </c>
      <c r="G669" s="5" t="s">
        <v>73</v>
      </c>
      <c r="H669" s="4" t="s">
        <v>74</v>
      </c>
      <c r="I669" s="3" t="s">
        <v>2555</v>
      </c>
      <c r="J669" s="3" t="s">
        <v>35</v>
      </c>
      <c r="K669" s="6">
        <v>20</v>
      </c>
      <c r="L669" s="6"/>
      <c r="M669" s="6">
        <f t="shared" si="78"/>
        <v>20</v>
      </c>
      <c r="N669" s="8" t="s">
        <v>19</v>
      </c>
      <c r="O669" s="149"/>
    </row>
    <row r="670" spans="1:15" s="9" customFormat="1" ht="16.5" customHeight="1">
      <c r="A670" s="2">
        <v>53</v>
      </c>
      <c r="B670" s="3">
        <v>5</v>
      </c>
      <c r="C670" s="134">
        <v>612</v>
      </c>
      <c r="D670" s="3" t="s">
        <v>75</v>
      </c>
      <c r="E670" s="3"/>
      <c r="F670" s="4" t="s">
        <v>76</v>
      </c>
      <c r="G670" s="5" t="s">
        <v>77</v>
      </c>
      <c r="H670" s="4" t="s">
        <v>78</v>
      </c>
      <c r="I670" s="3" t="s">
        <v>2556</v>
      </c>
      <c r="J670" s="3" t="s">
        <v>79</v>
      </c>
      <c r="K670" s="6">
        <v>90</v>
      </c>
      <c r="L670" s="6"/>
      <c r="M670" s="6">
        <f t="shared" si="78"/>
        <v>90</v>
      </c>
      <c r="N670" s="8">
        <v>678050</v>
      </c>
      <c r="O670" s="149"/>
    </row>
    <row r="671" spans="1:15" s="9" customFormat="1" ht="16.5" customHeight="1">
      <c r="A671" s="2">
        <v>53</v>
      </c>
      <c r="B671" s="3">
        <v>6</v>
      </c>
      <c r="C671" s="3">
        <v>613</v>
      </c>
      <c r="D671" s="3" t="s">
        <v>75</v>
      </c>
      <c r="E671" s="3"/>
      <c r="F671" s="4" t="s">
        <v>80</v>
      </c>
      <c r="G671" s="5" t="s">
        <v>81</v>
      </c>
      <c r="H671" s="4" t="s">
        <v>82</v>
      </c>
      <c r="I671" s="3" t="s">
        <v>2557</v>
      </c>
      <c r="J671" s="3" t="s">
        <v>79</v>
      </c>
      <c r="K671" s="6">
        <v>20</v>
      </c>
      <c r="L671" s="6"/>
      <c r="M671" s="6">
        <f t="shared" si="78"/>
        <v>20</v>
      </c>
      <c r="N671" s="8">
        <v>45390</v>
      </c>
      <c r="O671" s="149"/>
    </row>
    <row r="672" spans="1:15" s="9" customFormat="1" ht="16.5" customHeight="1">
      <c r="A672" s="2">
        <v>53</v>
      </c>
      <c r="B672" s="3">
        <v>7</v>
      </c>
      <c r="C672" s="134">
        <v>614</v>
      </c>
      <c r="D672" s="3" t="s">
        <v>75</v>
      </c>
      <c r="E672" s="3"/>
      <c r="F672" s="4"/>
      <c r="G672" s="5" t="s">
        <v>83</v>
      </c>
      <c r="H672" s="4" t="s">
        <v>84</v>
      </c>
      <c r="I672" s="3" t="s">
        <v>2558</v>
      </c>
      <c r="J672" s="3" t="s">
        <v>85</v>
      </c>
      <c r="K672" s="6">
        <v>2</v>
      </c>
      <c r="L672" s="6"/>
      <c r="M672" s="6">
        <f t="shared" si="78"/>
        <v>2</v>
      </c>
      <c r="N672" s="8" t="s">
        <v>2934</v>
      </c>
      <c r="O672" s="149"/>
    </row>
    <row r="673" spans="1:15" s="9" customFormat="1" ht="16.5" customHeight="1">
      <c r="A673" s="2">
        <v>53</v>
      </c>
      <c r="B673" s="3">
        <v>8</v>
      </c>
      <c r="C673" s="3">
        <v>615</v>
      </c>
      <c r="D673" s="3" t="s">
        <v>75</v>
      </c>
      <c r="E673" s="3"/>
      <c r="F673" s="4"/>
      <c r="G673" s="5" t="s">
        <v>86</v>
      </c>
      <c r="H673" s="4" t="s">
        <v>84</v>
      </c>
      <c r="I673" s="3" t="s">
        <v>2558</v>
      </c>
      <c r="J673" s="3" t="s">
        <v>85</v>
      </c>
      <c r="K673" s="6">
        <v>2</v>
      </c>
      <c r="L673" s="6"/>
      <c r="M673" s="6">
        <f t="shared" si="78"/>
        <v>2</v>
      </c>
      <c r="N673" s="8" t="s">
        <v>2934</v>
      </c>
      <c r="O673" s="149"/>
    </row>
    <row r="674" spans="1:15" s="9" customFormat="1" ht="16.5" customHeight="1">
      <c r="A674" s="2">
        <v>53</v>
      </c>
      <c r="B674" s="3">
        <v>9</v>
      </c>
      <c r="C674" s="134">
        <v>616</v>
      </c>
      <c r="D674" s="3" t="s">
        <v>75</v>
      </c>
      <c r="E674" s="3"/>
      <c r="F674" s="4"/>
      <c r="G674" s="5" t="s">
        <v>87</v>
      </c>
      <c r="H674" s="4" t="s">
        <v>84</v>
      </c>
      <c r="I674" s="3" t="s">
        <v>2558</v>
      </c>
      <c r="J674" s="3" t="s">
        <v>85</v>
      </c>
      <c r="K674" s="6">
        <v>2</v>
      </c>
      <c r="L674" s="6"/>
      <c r="M674" s="6">
        <f t="shared" si="78"/>
        <v>2</v>
      </c>
      <c r="N674" s="8" t="s">
        <v>2934</v>
      </c>
      <c r="O674" s="149"/>
    </row>
    <row r="675" spans="1:15" s="9" customFormat="1" ht="16.5" customHeight="1">
      <c r="A675" s="2">
        <v>53</v>
      </c>
      <c r="B675" s="3">
        <v>10</v>
      </c>
      <c r="C675" s="3">
        <v>617</v>
      </c>
      <c r="D675" s="3" t="s">
        <v>75</v>
      </c>
      <c r="E675" s="3"/>
      <c r="F675" s="4"/>
      <c r="G675" s="5" t="s">
        <v>88</v>
      </c>
      <c r="H675" s="4" t="s">
        <v>89</v>
      </c>
      <c r="I675" s="3" t="s">
        <v>2559</v>
      </c>
      <c r="J675" s="3" t="s">
        <v>28</v>
      </c>
      <c r="K675" s="6">
        <v>2</v>
      </c>
      <c r="L675" s="6"/>
      <c r="M675" s="6">
        <f t="shared" si="78"/>
        <v>2</v>
      </c>
      <c r="N675" s="8" t="s">
        <v>2934</v>
      </c>
      <c r="O675" s="149"/>
    </row>
    <row r="676" spans="1:15" s="9" customFormat="1" ht="16.5" customHeight="1">
      <c r="A676" s="2">
        <v>53</v>
      </c>
      <c r="B676" s="3">
        <v>11</v>
      </c>
      <c r="C676" s="134">
        <v>618</v>
      </c>
      <c r="D676" s="3" t="s">
        <v>14</v>
      </c>
      <c r="E676" s="3"/>
      <c r="F676" s="4" t="s">
        <v>90</v>
      </c>
      <c r="G676" s="5" t="s">
        <v>91</v>
      </c>
      <c r="H676" s="4" t="s">
        <v>66</v>
      </c>
      <c r="I676" s="3" t="s">
        <v>2554</v>
      </c>
      <c r="J676" s="3" t="s">
        <v>35</v>
      </c>
      <c r="K676" s="6">
        <v>50</v>
      </c>
      <c r="L676" s="6">
        <v>30</v>
      </c>
      <c r="M676" s="6">
        <f t="shared" si="78"/>
        <v>80</v>
      </c>
      <c r="N676" s="8">
        <v>2000</v>
      </c>
      <c r="O676" s="149"/>
    </row>
    <row r="677" spans="1:15" s="9" customFormat="1" ht="16.5" customHeight="1">
      <c r="A677" s="2">
        <v>53</v>
      </c>
      <c r="B677" s="3">
        <v>12</v>
      </c>
      <c r="C677" s="3">
        <v>619</v>
      </c>
      <c r="D677" s="3" t="s">
        <v>14</v>
      </c>
      <c r="E677" s="3"/>
      <c r="F677" s="4" t="s">
        <v>92</v>
      </c>
      <c r="G677" s="5" t="s">
        <v>91</v>
      </c>
      <c r="H677" s="4" t="s">
        <v>69</v>
      </c>
      <c r="I677" s="3" t="s">
        <v>2554</v>
      </c>
      <c r="J677" s="3" t="s">
        <v>35</v>
      </c>
      <c r="K677" s="6">
        <v>20</v>
      </c>
      <c r="L677" s="6"/>
      <c r="M677" s="6">
        <f t="shared" si="78"/>
        <v>20</v>
      </c>
      <c r="N677" s="8">
        <v>4360</v>
      </c>
      <c r="O677" s="149"/>
    </row>
    <row r="678" spans="1:15" s="9" customFormat="1" ht="16.5" customHeight="1">
      <c r="A678" s="2">
        <v>53</v>
      </c>
      <c r="B678" s="3">
        <v>13</v>
      </c>
      <c r="C678" s="134">
        <v>620</v>
      </c>
      <c r="D678" s="3" t="s">
        <v>14</v>
      </c>
      <c r="E678" s="3"/>
      <c r="F678" s="4" t="s">
        <v>93</v>
      </c>
      <c r="G678" s="5" t="s">
        <v>91</v>
      </c>
      <c r="H678" s="4" t="s">
        <v>94</v>
      </c>
      <c r="I678" s="3" t="s">
        <v>2554</v>
      </c>
      <c r="J678" s="3" t="s">
        <v>28</v>
      </c>
      <c r="K678" s="6">
        <v>10</v>
      </c>
      <c r="L678" s="6"/>
      <c r="M678" s="6">
        <f t="shared" si="78"/>
        <v>10</v>
      </c>
      <c r="N678" s="8">
        <v>7770</v>
      </c>
      <c r="O678" s="149"/>
    </row>
    <row r="679" spans="1:15" s="9" customFormat="1" ht="16.5" customHeight="1">
      <c r="A679" s="2">
        <v>53</v>
      </c>
      <c r="B679" s="3">
        <v>14</v>
      </c>
      <c r="C679" s="3">
        <v>621</v>
      </c>
      <c r="D679" s="3" t="s">
        <v>14</v>
      </c>
      <c r="E679" s="3"/>
      <c r="F679" s="4" t="s">
        <v>95</v>
      </c>
      <c r="G679" s="5" t="s">
        <v>96</v>
      </c>
      <c r="H679" s="4" t="s">
        <v>69</v>
      </c>
      <c r="I679" s="3" t="s">
        <v>2554</v>
      </c>
      <c r="J679" s="3" t="s">
        <v>35</v>
      </c>
      <c r="K679" s="6">
        <v>30</v>
      </c>
      <c r="L679" s="6"/>
      <c r="M679" s="6">
        <f t="shared" si="78"/>
        <v>30</v>
      </c>
      <c r="N679" s="8">
        <v>4360</v>
      </c>
      <c r="O679" s="149"/>
    </row>
    <row r="680" spans="1:15" s="9" customFormat="1" ht="16.5" customHeight="1">
      <c r="A680" s="2">
        <v>53</v>
      </c>
      <c r="B680" s="3">
        <v>15</v>
      </c>
      <c r="C680" s="134">
        <v>622</v>
      </c>
      <c r="D680" s="3" t="s">
        <v>14</v>
      </c>
      <c r="E680" s="3"/>
      <c r="F680" s="4" t="s">
        <v>97</v>
      </c>
      <c r="G680" s="5" t="s">
        <v>98</v>
      </c>
      <c r="H680" s="4" t="s">
        <v>66</v>
      </c>
      <c r="I680" s="3" t="s">
        <v>2554</v>
      </c>
      <c r="J680" s="3" t="s">
        <v>35</v>
      </c>
      <c r="K680" s="6">
        <v>250</v>
      </c>
      <c r="L680" s="6">
        <v>700</v>
      </c>
      <c r="M680" s="6">
        <f t="shared" si="78"/>
        <v>950</v>
      </c>
      <c r="N680" s="8">
        <v>2000</v>
      </c>
      <c r="O680" s="149"/>
    </row>
    <row r="681" spans="1:15" s="9" customFormat="1" ht="16.5" customHeight="1">
      <c r="A681" s="2">
        <v>53</v>
      </c>
      <c r="B681" s="3">
        <v>16</v>
      </c>
      <c r="C681" s="3">
        <v>623</v>
      </c>
      <c r="D681" s="3" t="s">
        <v>14</v>
      </c>
      <c r="E681" s="3"/>
      <c r="F681" s="4" t="s">
        <v>99</v>
      </c>
      <c r="G681" s="5" t="s">
        <v>100</v>
      </c>
      <c r="H681" s="4" t="s">
        <v>101</v>
      </c>
      <c r="I681" s="3" t="s">
        <v>2554</v>
      </c>
      <c r="J681" s="3" t="s">
        <v>35</v>
      </c>
      <c r="K681" s="6">
        <v>5</v>
      </c>
      <c r="L681" s="6">
        <v>150</v>
      </c>
      <c r="M681" s="6">
        <f t="shared" si="78"/>
        <v>155</v>
      </c>
      <c r="N681" s="8">
        <v>3000</v>
      </c>
      <c r="O681" s="149"/>
    </row>
    <row r="682" spans="1:15" s="9" customFormat="1" ht="16.5" customHeight="1">
      <c r="A682" s="2">
        <v>53</v>
      </c>
      <c r="B682" s="3">
        <v>17</v>
      </c>
      <c r="C682" s="134">
        <v>624</v>
      </c>
      <c r="D682" s="3" t="s">
        <v>75</v>
      </c>
      <c r="E682" s="3"/>
      <c r="F682" s="4"/>
      <c r="G682" s="5" t="s">
        <v>102</v>
      </c>
      <c r="H682" s="4" t="s">
        <v>84</v>
      </c>
      <c r="I682" s="3" t="s">
        <v>2560</v>
      </c>
      <c r="J682" s="3" t="s">
        <v>79</v>
      </c>
      <c r="K682" s="6">
        <v>10</v>
      </c>
      <c r="L682" s="6"/>
      <c r="M682" s="6">
        <f t="shared" si="78"/>
        <v>10</v>
      </c>
      <c r="N682" s="8" t="s">
        <v>2934</v>
      </c>
      <c r="O682" s="149"/>
    </row>
    <row r="683" spans="1:15" s="9" customFormat="1" ht="16.5" customHeight="1">
      <c r="A683" s="2">
        <v>53</v>
      </c>
      <c r="B683" s="3">
        <v>18</v>
      </c>
      <c r="C683" s="3">
        <v>625</v>
      </c>
      <c r="D683" s="3" t="s">
        <v>75</v>
      </c>
      <c r="E683" s="3"/>
      <c r="F683" s="4" t="s">
        <v>103</v>
      </c>
      <c r="G683" s="5" t="s">
        <v>104</v>
      </c>
      <c r="H683" s="4" t="s">
        <v>105</v>
      </c>
      <c r="I683" s="3" t="s">
        <v>2561</v>
      </c>
      <c r="J683" s="3" t="s">
        <v>79</v>
      </c>
      <c r="K683" s="6">
        <v>10</v>
      </c>
      <c r="L683" s="6"/>
      <c r="M683" s="6">
        <f t="shared" si="78"/>
        <v>10</v>
      </c>
      <c r="N683" s="8">
        <v>17500</v>
      </c>
      <c r="O683" s="149"/>
    </row>
    <row r="684" spans="1:15" s="9" customFormat="1" ht="16.5" customHeight="1">
      <c r="A684" s="2">
        <v>53</v>
      </c>
      <c r="B684" s="3">
        <v>19</v>
      </c>
      <c r="C684" s="134">
        <v>626</v>
      </c>
      <c r="D684" s="3" t="s">
        <v>106</v>
      </c>
      <c r="E684" s="3"/>
      <c r="F684" s="4" t="s">
        <v>107</v>
      </c>
      <c r="G684" s="5" t="s">
        <v>108</v>
      </c>
      <c r="H684" s="4" t="s">
        <v>109</v>
      </c>
      <c r="I684" s="3" t="s">
        <v>2562</v>
      </c>
      <c r="J684" s="3" t="s">
        <v>79</v>
      </c>
      <c r="K684" s="6">
        <v>20</v>
      </c>
      <c r="L684" s="6"/>
      <c r="M684" s="6">
        <f t="shared" si="78"/>
        <v>20</v>
      </c>
      <c r="N684" s="8">
        <v>8100</v>
      </c>
      <c r="O684" s="149"/>
    </row>
    <row r="685" spans="1:15" s="9" customFormat="1" ht="16.5" customHeight="1">
      <c r="A685" s="2">
        <v>53</v>
      </c>
      <c r="B685" s="3">
        <v>20</v>
      </c>
      <c r="C685" s="3">
        <v>627</v>
      </c>
      <c r="D685" s="3" t="s">
        <v>75</v>
      </c>
      <c r="E685" s="3"/>
      <c r="F685" s="4" t="s">
        <v>80</v>
      </c>
      <c r="G685" s="5" t="s">
        <v>110</v>
      </c>
      <c r="H685" s="4" t="s">
        <v>111</v>
      </c>
      <c r="I685" s="3" t="s">
        <v>2557</v>
      </c>
      <c r="J685" s="3" t="s">
        <v>79</v>
      </c>
      <c r="K685" s="6">
        <v>40</v>
      </c>
      <c r="L685" s="6"/>
      <c r="M685" s="6">
        <f t="shared" si="78"/>
        <v>40</v>
      </c>
      <c r="N685" s="8">
        <v>45390</v>
      </c>
      <c r="O685" s="149"/>
    </row>
    <row r="686" spans="1:15" s="9" customFormat="1" ht="16.5" customHeight="1">
      <c r="A686" s="2">
        <v>53</v>
      </c>
      <c r="B686" s="3">
        <v>21</v>
      </c>
      <c r="C686" s="134">
        <v>628</v>
      </c>
      <c r="D686" s="3" t="s">
        <v>75</v>
      </c>
      <c r="E686" s="3"/>
      <c r="F686" s="4"/>
      <c r="G686" s="5" t="s">
        <v>112</v>
      </c>
      <c r="H686" s="4" t="s">
        <v>113</v>
      </c>
      <c r="I686" s="3" t="s">
        <v>2563</v>
      </c>
      <c r="J686" s="3" t="s">
        <v>85</v>
      </c>
      <c r="K686" s="6">
        <v>2</v>
      </c>
      <c r="L686" s="6"/>
      <c r="M686" s="6">
        <f t="shared" si="78"/>
        <v>2</v>
      </c>
      <c r="N686" s="8" t="s">
        <v>2934</v>
      </c>
      <c r="O686" s="149"/>
    </row>
    <row r="687" spans="1:15" s="9" customFormat="1" ht="16.5" customHeight="1">
      <c r="A687" s="2">
        <v>53</v>
      </c>
      <c r="B687" s="3">
        <v>22</v>
      </c>
      <c r="C687" s="3">
        <v>629</v>
      </c>
      <c r="D687" s="3" t="s">
        <v>75</v>
      </c>
      <c r="E687" s="3"/>
      <c r="F687" s="4"/>
      <c r="G687" s="5" t="s">
        <v>114</v>
      </c>
      <c r="H687" s="4" t="s">
        <v>113</v>
      </c>
      <c r="I687" s="3" t="s">
        <v>2563</v>
      </c>
      <c r="J687" s="3" t="s">
        <v>85</v>
      </c>
      <c r="K687" s="6">
        <v>2</v>
      </c>
      <c r="L687" s="6"/>
      <c r="M687" s="6">
        <f t="shared" si="78"/>
        <v>2</v>
      </c>
      <c r="N687" s="8" t="s">
        <v>2934</v>
      </c>
      <c r="O687" s="149"/>
    </row>
    <row r="688" spans="1:15" s="9" customFormat="1" ht="16.5" customHeight="1">
      <c r="A688" s="2">
        <v>53</v>
      </c>
      <c r="B688" s="3">
        <v>23</v>
      </c>
      <c r="C688" s="134">
        <v>630</v>
      </c>
      <c r="D688" s="3" t="s">
        <v>115</v>
      </c>
      <c r="E688" s="3"/>
      <c r="F688" s="4" t="s">
        <v>116</v>
      </c>
      <c r="G688" s="5" t="s">
        <v>117</v>
      </c>
      <c r="H688" s="4" t="s">
        <v>118</v>
      </c>
      <c r="I688" s="3" t="s">
        <v>2564</v>
      </c>
      <c r="J688" s="3" t="s">
        <v>85</v>
      </c>
      <c r="K688" s="6">
        <f>5+5</f>
        <v>10</v>
      </c>
      <c r="L688" s="6"/>
      <c r="M688" s="6">
        <f t="shared" si="78"/>
        <v>10</v>
      </c>
      <c r="N688" s="8">
        <v>35970</v>
      </c>
      <c r="O688" s="149"/>
    </row>
    <row r="689" spans="1:15" s="9" customFormat="1" ht="16.5" customHeight="1">
      <c r="A689" s="2">
        <v>53</v>
      </c>
      <c r="B689" s="3">
        <v>24</v>
      </c>
      <c r="C689" s="3">
        <v>631</v>
      </c>
      <c r="D689" s="3" t="s">
        <v>75</v>
      </c>
      <c r="E689" s="3"/>
      <c r="F689" s="4" t="s">
        <v>119</v>
      </c>
      <c r="G689" s="5" t="s">
        <v>120</v>
      </c>
      <c r="H689" s="4" t="s">
        <v>84</v>
      </c>
      <c r="I689" s="3" t="s">
        <v>2565</v>
      </c>
      <c r="J689" s="3" t="s">
        <v>79</v>
      </c>
      <c r="K689" s="6">
        <v>60</v>
      </c>
      <c r="L689" s="6"/>
      <c r="M689" s="6">
        <f t="shared" si="78"/>
        <v>60</v>
      </c>
      <c r="N689" s="8">
        <v>124870</v>
      </c>
      <c r="O689" s="149"/>
    </row>
    <row r="690" spans="1:15" s="9" customFormat="1" ht="16.5" customHeight="1">
      <c r="A690" s="2">
        <v>53</v>
      </c>
      <c r="B690" s="3">
        <v>25</v>
      </c>
      <c r="C690" s="134">
        <v>632</v>
      </c>
      <c r="D690" s="3" t="s">
        <v>106</v>
      </c>
      <c r="E690" s="3"/>
      <c r="F690" s="4" t="s">
        <v>121</v>
      </c>
      <c r="G690" s="5" t="s">
        <v>122</v>
      </c>
      <c r="H690" s="4" t="s">
        <v>109</v>
      </c>
      <c r="I690" s="3" t="s">
        <v>2562</v>
      </c>
      <c r="J690" s="3" t="s">
        <v>79</v>
      </c>
      <c r="K690" s="6">
        <v>20</v>
      </c>
      <c r="L690" s="6"/>
      <c r="M690" s="6">
        <f t="shared" ref="M690:M720" si="79">K690+L690</f>
        <v>20</v>
      </c>
      <c r="N690" s="8">
        <v>28600</v>
      </c>
      <c r="O690" s="149"/>
    </row>
    <row r="691" spans="1:15" s="9" customFormat="1" ht="16.5" customHeight="1">
      <c r="A691" s="2">
        <v>53</v>
      </c>
      <c r="B691" s="3">
        <v>26</v>
      </c>
      <c r="C691" s="3">
        <v>633</v>
      </c>
      <c r="D691" s="3" t="s">
        <v>75</v>
      </c>
      <c r="E691" s="3"/>
      <c r="F691" s="4" t="s">
        <v>80</v>
      </c>
      <c r="G691" s="5" t="s">
        <v>123</v>
      </c>
      <c r="H691" s="4" t="s">
        <v>124</v>
      </c>
      <c r="I691" s="3" t="s">
        <v>2557</v>
      </c>
      <c r="J691" s="3" t="s">
        <v>79</v>
      </c>
      <c r="K691" s="6">
        <v>300</v>
      </c>
      <c r="L691" s="6"/>
      <c r="M691" s="6">
        <f t="shared" si="79"/>
        <v>300</v>
      </c>
      <c r="N691" s="8">
        <v>45390</v>
      </c>
      <c r="O691" s="149"/>
    </row>
    <row r="692" spans="1:15" s="9" customFormat="1" ht="16.5" customHeight="1">
      <c r="A692" s="160">
        <v>53</v>
      </c>
      <c r="B692" s="161">
        <v>27</v>
      </c>
      <c r="C692" s="134">
        <v>634</v>
      </c>
      <c r="D692" s="161" t="s">
        <v>75</v>
      </c>
      <c r="E692" s="161"/>
      <c r="F692" s="162" t="s">
        <v>125</v>
      </c>
      <c r="G692" s="164" t="s">
        <v>126</v>
      </c>
      <c r="H692" s="162" t="s">
        <v>127</v>
      </c>
      <c r="I692" s="161" t="s">
        <v>2566</v>
      </c>
      <c r="J692" s="161" t="s">
        <v>79</v>
      </c>
      <c r="K692" s="6">
        <v>5</v>
      </c>
      <c r="L692" s="6"/>
      <c r="M692" s="6">
        <f t="shared" si="79"/>
        <v>5</v>
      </c>
      <c r="N692" s="8">
        <v>45390</v>
      </c>
      <c r="O692" s="149"/>
    </row>
    <row r="693" spans="1:15" s="9" customFormat="1" ht="16.5" customHeight="1">
      <c r="A693" s="25"/>
      <c r="B693" s="25"/>
      <c r="C693" s="25"/>
      <c r="D693" s="14"/>
      <c r="E693" s="14"/>
      <c r="F693" s="26"/>
      <c r="G693" s="27"/>
      <c r="H693" s="15"/>
      <c r="I693" s="26"/>
      <c r="J693" s="25"/>
      <c r="K693" s="159">
        <f>SUM(K666:K692)</f>
        <v>1042</v>
      </c>
      <c r="L693" s="157">
        <f t="shared" ref="L693:M693" si="80">SUM(L666:L692)</f>
        <v>880</v>
      </c>
      <c r="M693" s="157">
        <f t="shared" si="80"/>
        <v>1922</v>
      </c>
      <c r="N693" s="17"/>
      <c r="O693" s="145"/>
    </row>
    <row r="694" spans="1:15" s="9" customFormat="1" ht="16.5" customHeight="1">
      <c r="A694" s="133">
        <v>54</v>
      </c>
      <c r="B694" s="134">
        <v>1</v>
      </c>
      <c r="C694" s="134">
        <v>635</v>
      </c>
      <c r="D694" s="134" t="s">
        <v>14</v>
      </c>
      <c r="E694" s="134"/>
      <c r="F694" s="137"/>
      <c r="G694" s="165" t="s">
        <v>976</v>
      </c>
      <c r="H694" s="137" t="s">
        <v>977</v>
      </c>
      <c r="I694" s="134" t="s">
        <v>2688</v>
      </c>
      <c r="J694" s="134" t="s">
        <v>140</v>
      </c>
      <c r="K694" s="6">
        <v>100</v>
      </c>
      <c r="L694" s="6"/>
      <c r="M694" s="6">
        <f t="shared" si="79"/>
        <v>100</v>
      </c>
      <c r="N694" s="8" t="s">
        <v>2934</v>
      </c>
      <c r="O694" s="149"/>
    </row>
    <row r="695" spans="1:15" s="9" customFormat="1" ht="16.5" customHeight="1">
      <c r="A695" s="2">
        <v>54</v>
      </c>
      <c r="B695" s="3">
        <v>2</v>
      </c>
      <c r="C695" s="3">
        <v>636</v>
      </c>
      <c r="D695" s="3" t="s">
        <v>14</v>
      </c>
      <c r="E695" s="3"/>
      <c r="F695" s="4"/>
      <c r="G695" s="5" t="s">
        <v>978</v>
      </c>
      <c r="H695" s="4" t="s">
        <v>979</v>
      </c>
      <c r="I695" s="3" t="s">
        <v>2689</v>
      </c>
      <c r="J695" s="3" t="s">
        <v>140</v>
      </c>
      <c r="K695" s="6">
        <v>1500</v>
      </c>
      <c r="L695" s="6"/>
      <c r="M695" s="6">
        <f t="shared" si="79"/>
        <v>1500</v>
      </c>
      <c r="N695" s="8" t="s">
        <v>2934</v>
      </c>
      <c r="O695" s="149"/>
    </row>
    <row r="696" spans="1:15" s="9" customFormat="1" ht="16.5" customHeight="1">
      <c r="A696" s="2">
        <v>54</v>
      </c>
      <c r="B696" s="3">
        <v>3</v>
      </c>
      <c r="C696" s="134">
        <v>637</v>
      </c>
      <c r="D696" s="3" t="s">
        <v>14</v>
      </c>
      <c r="E696" s="3"/>
      <c r="F696" s="4"/>
      <c r="G696" s="5" t="s">
        <v>980</v>
      </c>
      <c r="H696" s="4" t="s">
        <v>981</v>
      </c>
      <c r="I696" s="3" t="s">
        <v>2690</v>
      </c>
      <c r="J696" s="3" t="s">
        <v>140</v>
      </c>
      <c r="K696" s="6">
        <v>600</v>
      </c>
      <c r="L696" s="6"/>
      <c r="M696" s="6">
        <f t="shared" si="79"/>
        <v>600</v>
      </c>
      <c r="N696" s="8" t="s">
        <v>2934</v>
      </c>
      <c r="O696" s="149"/>
    </row>
    <row r="697" spans="1:15" s="9" customFormat="1" ht="16.5" customHeight="1">
      <c r="A697" s="2">
        <v>54</v>
      </c>
      <c r="B697" s="3">
        <v>4</v>
      </c>
      <c r="C697" s="3">
        <v>638</v>
      </c>
      <c r="D697" s="3" t="s">
        <v>14</v>
      </c>
      <c r="E697" s="3"/>
      <c r="F697" s="4"/>
      <c r="G697" s="5" t="s">
        <v>736</v>
      </c>
      <c r="H697" s="4" t="s">
        <v>737</v>
      </c>
      <c r="I697" s="3" t="s">
        <v>2691</v>
      </c>
      <c r="J697" s="3" t="s">
        <v>18</v>
      </c>
      <c r="K697" s="6">
        <v>60</v>
      </c>
      <c r="L697" s="6"/>
      <c r="M697" s="6">
        <f t="shared" si="79"/>
        <v>60</v>
      </c>
      <c r="N697" s="8" t="s">
        <v>2934</v>
      </c>
      <c r="O697" s="149"/>
    </row>
    <row r="698" spans="1:15" s="9" customFormat="1" ht="16.5" customHeight="1">
      <c r="A698" s="2">
        <v>54</v>
      </c>
      <c r="B698" s="3">
        <v>5</v>
      </c>
      <c r="C698" s="134">
        <v>639</v>
      </c>
      <c r="D698" s="3"/>
      <c r="E698" s="3" t="s">
        <v>488</v>
      </c>
      <c r="F698" s="4"/>
      <c r="G698" s="5" t="s">
        <v>1903</v>
      </c>
      <c r="H698" s="4" t="s">
        <v>84</v>
      </c>
      <c r="I698" s="3" t="s">
        <v>2692</v>
      </c>
      <c r="J698" s="3" t="s">
        <v>206</v>
      </c>
      <c r="K698" s="6"/>
      <c r="L698" s="6">
        <v>700</v>
      </c>
      <c r="M698" s="6">
        <f t="shared" si="79"/>
        <v>700</v>
      </c>
      <c r="N698" s="8" t="s">
        <v>1700</v>
      </c>
      <c r="O698" s="149"/>
    </row>
    <row r="699" spans="1:15" s="9" customFormat="1" ht="16.5" customHeight="1">
      <c r="A699" s="2">
        <v>54</v>
      </c>
      <c r="B699" s="3">
        <v>6</v>
      </c>
      <c r="C699" s="3">
        <v>640</v>
      </c>
      <c r="D699" s="3"/>
      <c r="E699" s="3" t="s">
        <v>488</v>
      </c>
      <c r="F699" s="4"/>
      <c r="G699" s="5" t="s">
        <v>1902</v>
      </c>
      <c r="H699" s="4" t="s">
        <v>1901</v>
      </c>
      <c r="I699" s="3" t="s">
        <v>2692</v>
      </c>
      <c r="J699" s="3" t="s">
        <v>206</v>
      </c>
      <c r="K699" s="6"/>
      <c r="L699" s="6">
        <v>50</v>
      </c>
      <c r="M699" s="6">
        <f t="shared" si="79"/>
        <v>50</v>
      </c>
      <c r="N699" s="8" t="s">
        <v>1700</v>
      </c>
      <c r="O699" s="149"/>
    </row>
    <row r="700" spans="1:15" s="9" customFormat="1" ht="16.5" customHeight="1">
      <c r="A700" s="2">
        <v>54</v>
      </c>
      <c r="B700" s="3">
        <v>7</v>
      </c>
      <c r="C700" s="134">
        <v>641</v>
      </c>
      <c r="D700" s="3" t="s">
        <v>14</v>
      </c>
      <c r="E700" s="3"/>
      <c r="F700" s="4"/>
      <c r="G700" s="5" t="s">
        <v>738</v>
      </c>
      <c r="H700" s="4" t="s">
        <v>739</v>
      </c>
      <c r="I700" s="3" t="s">
        <v>2693</v>
      </c>
      <c r="J700" s="3" t="s">
        <v>18</v>
      </c>
      <c r="K700" s="6">
        <v>20</v>
      </c>
      <c r="L700" s="6"/>
      <c r="M700" s="6">
        <f t="shared" si="79"/>
        <v>20</v>
      </c>
      <c r="N700" s="8" t="s">
        <v>2934</v>
      </c>
      <c r="O700" s="149"/>
    </row>
    <row r="701" spans="1:15" s="9" customFormat="1" ht="16.5" customHeight="1">
      <c r="A701" s="2">
        <v>54</v>
      </c>
      <c r="B701" s="3">
        <v>8</v>
      </c>
      <c r="C701" s="3">
        <v>642</v>
      </c>
      <c r="D701" s="3" t="s">
        <v>14</v>
      </c>
      <c r="E701" s="3"/>
      <c r="F701" s="4"/>
      <c r="G701" s="5" t="s">
        <v>738</v>
      </c>
      <c r="H701" s="4" t="s">
        <v>740</v>
      </c>
      <c r="I701" s="3" t="s">
        <v>2694</v>
      </c>
      <c r="J701" s="3" t="s">
        <v>18</v>
      </c>
      <c r="K701" s="6">
        <v>50</v>
      </c>
      <c r="L701" s="6"/>
      <c r="M701" s="6">
        <f t="shared" si="79"/>
        <v>50</v>
      </c>
      <c r="N701" s="8" t="s">
        <v>2934</v>
      </c>
      <c r="O701" s="149"/>
    </row>
    <row r="702" spans="1:15" s="9" customFormat="1" ht="16.5" customHeight="1">
      <c r="A702" s="2">
        <v>54</v>
      </c>
      <c r="B702" s="3">
        <v>9</v>
      </c>
      <c r="C702" s="134">
        <v>643</v>
      </c>
      <c r="D702" s="3" t="s">
        <v>14</v>
      </c>
      <c r="E702" s="3"/>
      <c r="F702" s="4"/>
      <c r="G702" s="5" t="s">
        <v>738</v>
      </c>
      <c r="H702" s="4" t="s">
        <v>741</v>
      </c>
      <c r="I702" s="3" t="s">
        <v>2691</v>
      </c>
      <c r="J702" s="3" t="s">
        <v>18</v>
      </c>
      <c r="K702" s="6">
        <v>70</v>
      </c>
      <c r="L702" s="6"/>
      <c r="M702" s="6">
        <f t="shared" si="79"/>
        <v>70</v>
      </c>
      <c r="N702" s="8" t="s">
        <v>2934</v>
      </c>
      <c r="O702" s="149"/>
    </row>
    <row r="703" spans="1:15" s="9" customFormat="1" ht="16.5" customHeight="1">
      <c r="A703" s="2">
        <v>54</v>
      </c>
      <c r="B703" s="3">
        <v>10</v>
      </c>
      <c r="C703" s="3">
        <v>644</v>
      </c>
      <c r="D703" s="3" t="s">
        <v>14</v>
      </c>
      <c r="E703" s="3"/>
      <c r="F703" s="4"/>
      <c r="G703" s="5" t="s">
        <v>738</v>
      </c>
      <c r="H703" s="4" t="s">
        <v>742</v>
      </c>
      <c r="I703" s="3" t="s">
        <v>2694</v>
      </c>
      <c r="J703" s="3" t="s">
        <v>18</v>
      </c>
      <c r="K703" s="6">
        <v>20</v>
      </c>
      <c r="L703" s="6"/>
      <c r="M703" s="6">
        <f t="shared" si="79"/>
        <v>20</v>
      </c>
      <c r="N703" s="8" t="s">
        <v>2934</v>
      </c>
      <c r="O703" s="149"/>
    </row>
    <row r="704" spans="1:15" s="9" customFormat="1" ht="16.5" customHeight="1">
      <c r="A704" s="2">
        <v>54</v>
      </c>
      <c r="B704" s="3">
        <v>11</v>
      </c>
      <c r="C704" s="134">
        <v>645</v>
      </c>
      <c r="D704" s="3" t="s">
        <v>14</v>
      </c>
      <c r="E704" s="3"/>
      <c r="F704" s="4"/>
      <c r="G704" s="5" t="s">
        <v>738</v>
      </c>
      <c r="H704" s="4" t="s">
        <v>743</v>
      </c>
      <c r="I704" s="3" t="s">
        <v>2691</v>
      </c>
      <c r="J704" s="3" t="s">
        <v>18</v>
      </c>
      <c r="K704" s="6">
        <v>20</v>
      </c>
      <c r="L704" s="6"/>
      <c r="M704" s="6">
        <f t="shared" si="79"/>
        <v>20</v>
      </c>
      <c r="N704" s="8" t="s">
        <v>2934</v>
      </c>
      <c r="O704" s="149"/>
    </row>
    <row r="705" spans="1:15" s="9" customFormat="1" ht="16.5" customHeight="1">
      <c r="A705" s="2">
        <v>54</v>
      </c>
      <c r="B705" s="3">
        <v>12</v>
      </c>
      <c r="C705" s="3">
        <v>646</v>
      </c>
      <c r="D705" s="3" t="s">
        <v>14</v>
      </c>
      <c r="E705" s="3"/>
      <c r="F705" s="4"/>
      <c r="G705" s="5" t="s">
        <v>738</v>
      </c>
      <c r="H705" s="4" t="s">
        <v>744</v>
      </c>
      <c r="I705" s="3" t="s">
        <v>2694</v>
      </c>
      <c r="J705" s="3" t="s">
        <v>18</v>
      </c>
      <c r="K705" s="6">
        <v>5</v>
      </c>
      <c r="L705" s="6"/>
      <c r="M705" s="6">
        <f t="shared" si="79"/>
        <v>5</v>
      </c>
      <c r="N705" s="8" t="s">
        <v>2934</v>
      </c>
      <c r="O705" s="149"/>
    </row>
    <row r="706" spans="1:15" s="9" customFormat="1" ht="16.5" customHeight="1">
      <c r="A706" s="2">
        <v>54</v>
      </c>
      <c r="B706" s="3">
        <v>13</v>
      </c>
      <c r="C706" s="134">
        <v>647</v>
      </c>
      <c r="D706" s="3" t="s">
        <v>14</v>
      </c>
      <c r="E706" s="3"/>
      <c r="F706" s="4"/>
      <c r="G706" s="5" t="s">
        <v>745</v>
      </c>
      <c r="H706" s="4" t="s">
        <v>746</v>
      </c>
      <c r="I706" s="3" t="s">
        <v>2694</v>
      </c>
      <c r="J706" s="3" t="s">
        <v>18</v>
      </c>
      <c r="K706" s="6">
        <v>150</v>
      </c>
      <c r="L706" s="6"/>
      <c r="M706" s="6">
        <f t="shared" si="79"/>
        <v>150</v>
      </c>
      <c r="N706" s="8" t="s">
        <v>2934</v>
      </c>
      <c r="O706" s="149"/>
    </row>
    <row r="707" spans="1:15" s="9" customFormat="1" ht="16.5" customHeight="1">
      <c r="A707" s="2">
        <v>54</v>
      </c>
      <c r="B707" s="3">
        <v>14</v>
      </c>
      <c r="C707" s="3">
        <v>648</v>
      </c>
      <c r="D707" s="3" t="s">
        <v>14</v>
      </c>
      <c r="E707" s="3"/>
      <c r="F707" s="4"/>
      <c r="G707" s="5" t="s">
        <v>747</v>
      </c>
      <c r="H707" s="4" t="s">
        <v>175</v>
      </c>
      <c r="I707" s="3" t="s">
        <v>2695</v>
      </c>
      <c r="J707" s="3" t="s">
        <v>38</v>
      </c>
      <c r="K707" s="6">
        <v>30</v>
      </c>
      <c r="L707" s="6"/>
      <c r="M707" s="6">
        <f t="shared" si="79"/>
        <v>30</v>
      </c>
      <c r="N707" s="8" t="s">
        <v>2934</v>
      </c>
      <c r="O707" s="149"/>
    </row>
    <row r="708" spans="1:15" s="9" customFormat="1" ht="16.5" customHeight="1">
      <c r="A708" s="2">
        <v>54</v>
      </c>
      <c r="B708" s="3">
        <v>15</v>
      </c>
      <c r="C708" s="134">
        <v>649</v>
      </c>
      <c r="D708" s="3" t="s">
        <v>14</v>
      </c>
      <c r="E708" s="3"/>
      <c r="F708" s="4"/>
      <c r="G708" s="5" t="s">
        <v>748</v>
      </c>
      <c r="H708" s="4" t="s">
        <v>749</v>
      </c>
      <c r="I708" s="3" t="s">
        <v>2696</v>
      </c>
      <c r="J708" s="3" t="s">
        <v>524</v>
      </c>
      <c r="K708" s="6">
        <v>200</v>
      </c>
      <c r="L708" s="6"/>
      <c r="M708" s="6">
        <f t="shared" si="79"/>
        <v>200</v>
      </c>
      <c r="N708" s="8" t="s">
        <v>2934</v>
      </c>
      <c r="O708" s="149"/>
    </row>
    <row r="709" spans="1:15" s="9" customFormat="1" ht="16.5" customHeight="1">
      <c r="A709" s="2">
        <v>54</v>
      </c>
      <c r="B709" s="3">
        <v>16</v>
      </c>
      <c r="C709" s="3">
        <v>650</v>
      </c>
      <c r="D709" s="3"/>
      <c r="E709" s="3" t="s">
        <v>488</v>
      </c>
      <c r="F709" s="4"/>
      <c r="G709" s="5" t="s">
        <v>1898</v>
      </c>
      <c r="H709" s="4" t="s">
        <v>1900</v>
      </c>
      <c r="I709" s="3" t="s">
        <v>2697</v>
      </c>
      <c r="J709" s="3" t="s">
        <v>206</v>
      </c>
      <c r="K709" s="6"/>
      <c r="L709" s="6">
        <v>150</v>
      </c>
      <c r="M709" s="6">
        <f t="shared" si="79"/>
        <v>150</v>
      </c>
      <c r="N709" s="8" t="s">
        <v>1700</v>
      </c>
      <c r="O709" s="149"/>
    </row>
    <row r="710" spans="1:15" s="9" customFormat="1" ht="16.5" customHeight="1">
      <c r="A710" s="2">
        <v>54</v>
      </c>
      <c r="B710" s="3">
        <v>17</v>
      </c>
      <c r="C710" s="134">
        <v>651</v>
      </c>
      <c r="D710" s="3"/>
      <c r="E710" s="3" t="s">
        <v>488</v>
      </c>
      <c r="F710" s="4"/>
      <c r="G710" s="5" t="s">
        <v>1898</v>
      </c>
      <c r="H710" s="4" t="s">
        <v>1899</v>
      </c>
      <c r="I710" s="3" t="s">
        <v>2698</v>
      </c>
      <c r="J710" s="3" t="s">
        <v>206</v>
      </c>
      <c r="K710" s="6"/>
      <c r="L710" s="6">
        <v>500</v>
      </c>
      <c r="M710" s="6">
        <f t="shared" si="79"/>
        <v>500</v>
      </c>
      <c r="N710" s="8" t="s">
        <v>1700</v>
      </c>
      <c r="O710" s="149"/>
    </row>
    <row r="711" spans="1:15" s="9" customFormat="1" ht="16.5" customHeight="1">
      <c r="A711" s="2">
        <v>54</v>
      </c>
      <c r="B711" s="3">
        <v>18</v>
      </c>
      <c r="C711" s="3">
        <v>652</v>
      </c>
      <c r="D711" s="3"/>
      <c r="E711" s="3" t="s">
        <v>488</v>
      </c>
      <c r="F711" s="4"/>
      <c r="G711" s="5" t="s">
        <v>1898</v>
      </c>
      <c r="H711" s="4" t="s">
        <v>1897</v>
      </c>
      <c r="I711" s="3" t="s">
        <v>2697</v>
      </c>
      <c r="J711" s="3" t="s">
        <v>206</v>
      </c>
      <c r="K711" s="6"/>
      <c r="L711" s="6">
        <v>80</v>
      </c>
      <c r="M711" s="6">
        <f t="shared" si="79"/>
        <v>80</v>
      </c>
      <c r="N711" s="8" t="s">
        <v>1700</v>
      </c>
      <c r="O711" s="149"/>
    </row>
    <row r="712" spans="1:15" s="9" customFormat="1" ht="16.5" customHeight="1">
      <c r="A712" s="2">
        <v>54</v>
      </c>
      <c r="B712" s="3">
        <v>19</v>
      </c>
      <c r="C712" s="134">
        <v>653</v>
      </c>
      <c r="D712" s="3"/>
      <c r="E712" s="3" t="s">
        <v>488</v>
      </c>
      <c r="F712" s="4"/>
      <c r="G712" s="5" t="s">
        <v>1895</v>
      </c>
      <c r="H712" s="4" t="s">
        <v>1896</v>
      </c>
      <c r="I712" s="3" t="s">
        <v>2699</v>
      </c>
      <c r="J712" s="3" t="s">
        <v>206</v>
      </c>
      <c r="K712" s="6"/>
      <c r="L712" s="6">
        <v>80</v>
      </c>
      <c r="M712" s="6">
        <f t="shared" si="79"/>
        <v>80</v>
      </c>
      <c r="N712" s="8" t="s">
        <v>1700</v>
      </c>
      <c r="O712" s="149"/>
    </row>
    <row r="713" spans="1:15" s="9" customFormat="1" ht="16.5" customHeight="1">
      <c r="A713" s="2">
        <v>54</v>
      </c>
      <c r="B713" s="3">
        <v>20</v>
      </c>
      <c r="C713" s="3">
        <v>654</v>
      </c>
      <c r="D713" s="3"/>
      <c r="E713" s="3" t="s">
        <v>488</v>
      </c>
      <c r="F713" s="4"/>
      <c r="G713" s="5" t="s">
        <v>1895</v>
      </c>
      <c r="H713" s="4" t="s">
        <v>1894</v>
      </c>
      <c r="I713" s="3" t="s">
        <v>2697</v>
      </c>
      <c r="J713" s="3" t="s">
        <v>206</v>
      </c>
      <c r="K713" s="6"/>
      <c r="L713" s="6">
        <v>140</v>
      </c>
      <c r="M713" s="6">
        <f t="shared" si="79"/>
        <v>140</v>
      </c>
      <c r="N713" s="8" t="s">
        <v>1700</v>
      </c>
      <c r="O713" s="149"/>
    </row>
    <row r="714" spans="1:15" s="9" customFormat="1" ht="16.5" customHeight="1">
      <c r="A714" s="2">
        <v>54</v>
      </c>
      <c r="B714" s="3">
        <v>21</v>
      </c>
      <c r="C714" s="134">
        <v>655</v>
      </c>
      <c r="D714" s="3" t="s">
        <v>14</v>
      </c>
      <c r="E714" s="3"/>
      <c r="F714" s="4"/>
      <c r="G714" s="5" t="s">
        <v>752</v>
      </c>
      <c r="H714" s="4" t="s">
        <v>753</v>
      </c>
      <c r="I714" s="3" t="s">
        <v>2700</v>
      </c>
      <c r="J714" s="3" t="s">
        <v>18</v>
      </c>
      <c r="K714" s="6">
        <v>150</v>
      </c>
      <c r="L714" s="6">
        <v>220</v>
      </c>
      <c r="M714" s="6">
        <f t="shared" si="79"/>
        <v>370</v>
      </c>
      <c r="N714" s="8" t="s">
        <v>2934</v>
      </c>
      <c r="O714" s="149"/>
    </row>
    <row r="715" spans="1:15" s="9" customFormat="1" ht="16.5" customHeight="1">
      <c r="A715" s="2">
        <v>54</v>
      </c>
      <c r="B715" s="3">
        <v>22</v>
      </c>
      <c r="C715" s="3">
        <v>656</v>
      </c>
      <c r="D715" s="3" t="s">
        <v>14</v>
      </c>
      <c r="E715" s="3"/>
      <c r="F715" s="4"/>
      <c r="G715" s="5" t="s">
        <v>758</v>
      </c>
      <c r="H715" s="4" t="s">
        <v>759</v>
      </c>
      <c r="I715" s="3" t="s">
        <v>2701</v>
      </c>
      <c r="J715" s="3" t="s">
        <v>18</v>
      </c>
      <c r="K715" s="6">
        <v>1100</v>
      </c>
      <c r="L715" s="6">
        <v>820</v>
      </c>
      <c r="M715" s="6">
        <f t="shared" si="79"/>
        <v>1920</v>
      </c>
      <c r="N715" s="8" t="s">
        <v>2934</v>
      </c>
      <c r="O715" s="149"/>
    </row>
    <row r="716" spans="1:15" s="9" customFormat="1" ht="16.5" customHeight="1">
      <c r="A716" s="2">
        <v>54</v>
      </c>
      <c r="B716" s="3">
        <v>23</v>
      </c>
      <c r="C716" s="134">
        <v>657</v>
      </c>
      <c r="D716" s="3" t="s">
        <v>14</v>
      </c>
      <c r="E716" s="3"/>
      <c r="F716" s="4"/>
      <c r="G716" s="5" t="s">
        <v>761</v>
      </c>
      <c r="H716" s="4" t="s">
        <v>759</v>
      </c>
      <c r="I716" s="3" t="s">
        <v>2700</v>
      </c>
      <c r="J716" s="3" t="s">
        <v>18</v>
      </c>
      <c r="K716" s="6">
        <v>650</v>
      </c>
      <c r="L716" s="6">
        <v>500</v>
      </c>
      <c r="M716" s="6">
        <f t="shared" si="79"/>
        <v>1150</v>
      </c>
      <c r="N716" s="8" t="s">
        <v>2934</v>
      </c>
      <c r="O716" s="149"/>
    </row>
    <row r="717" spans="1:15" s="9" customFormat="1" ht="16.5" customHeight="1">
      <c r="A717" s="2">
        <v>54</v>
      </c>
      <c r="B717" s="3">
        <v>24</v>
      </c>
      <c r="C717" s="3">
        <v>658</v>
      </c>
      <c r="D717" s="3" t="s">
        <v>14</v>
      </c>
      <c r="E717" s="3"/>
      <c r="F717" s="4"/>
      <c r="G717" s="5" t="s">
        <v>750</v>
      </c>
      <c r="H717" s="4" t="s">
        <v>751</v>
      </c>
      <c r="I717" s="3" t="s">
        <v>2702</v>
      </c>
      <c r="J717" s="3" t="s">
        <v>18</v>
      </c>
      <c r="K717" s="6">
        <v>2000</v>
      </c>
      <c r="L717" s="6">
        <v>1500</v>
      </c>
      <c r="M717" s="6">
        <f t="shared" si="79"/>
        <v>3500</v>
      </c>
      <c r="N717" s="8" t="s">
        <v>2934</v>
      </c>
      <c r="O717" s="149"/>
    </row>
    <row r="718" spans="1:15" s="9" customFormat="1" ht="16.5" customHeight="1">
      <c r="A718" s="2">
        <v>54</v>
      </c>
      <c r="B718" s="3">
        <v>25</v>
      </c>
      <c r="C718" s="134">
        <v>659</v>
      </c>
      <c r="D718" s="3" t="s">
        <v>14</v>
      </c>
      <c r="E718" s="3"/>
      <c r="F718" s="4"/>
      <c r="G718" s="5" t="s">
        <v>754</v>
      </c>
      <c r="H718" s="4" t="s">
        <v>755</v>
      </c>
      <c r="I718" s="3" t="s">
        <v>2701</v>
      </c>
      <c r="J718" s="3" t="s">
        <v>18</v>
      </c>
      <c r="K718" s="6">
        <v>1300</v>
      </c>
      <c r="L718" s="6"/>
      <c r="M718" s="6">
        <f t="shared" si="79"/>
        <v>1300</v>
      </c>
      <c r="N718" s="8" t="s">
        <v>2934</v>
      </c>
      <c r="O718" s="149"/>
    </row>
    <row r="719" spans="1:15" s="9" customFormat="1" ht="16.5" customHeight="1">
      <c r="A719" s="2">
        <v>54</v>
      </c>
      <c r="B719" s="3">
        <v>26</v>
      </c>
      <c r="C719" s="3">
        <v>660</v>
      </c>
      <c r="D719" s="3" t="s">
        <v>14</v>
      </c>
      <c r="E719" s="3"/>
      <c r="F719" s="4"/>
      <c r="G719" s="5" t="s">
        <v>756</v>
      </c>
      <c r="H719" s="4" t="s">
        <v>757</v>
      </c>
      <c r="I719" s="3" t="s">
        <v>2701</v>
      </c>
      <c r="J719" s="3" t="s">
        <v>18</v>
      </c>
      <c r="K719" s="6">
        <v>80</v>
      </c>
      <c r="L719" s="6"/>
      <c r="M719" s="6">
        <f t="shared" si="79"/>
        <v>80</v>
      </c>
      <c r="N719" s="8" t="s">
        <v>2934</v>
      </c>
      <c r="O719" s="149"/>
    </row>
    <row r="720" spans="1:15" s="9" customFormat="1" ht="16.5" customHeight="1">
      <c r="A720" s="160">
        <v>54</v>
      </c>
      <c r="B720" s="161">
        <v>27</v>
      </c>
      <c r="C720" s="134">
        <v>661</v>
      </c>
      <c r="D720" s="161" t="s">
        <v>14</v>
      </c>
      <c r="E720" s="161"/>
      <c r="F720" s="162"/>
      <c r="G720" s="164" t="s">
        <v>760</v>
      </c>
      <c r="H720" s="162" t="s">
        <v>757</v>
      </c>
      <c r="I720" s="161" t="s">
        <v>2701</v>
      </c>
      <c r="J720" s="161" t="s">
        <v>18</v>
      </c>
      <c r="K720" s="6">
        <v>180</v>
      </c>
      <c r="L720" s="6"/>
      <c r="M720" s="6">
        <f t="shared" si="79"/>
        <v>180</v>
      </c>
      <c r="N720" s="8" t="s">
        <v>2934</v>
      </c>
      <c r="O720" s="149"/>
    </row>
    <row r="721" spans="1:15" s="9" customFormat="1" ht="16.5" customHeight="1">
      <c r="A721" s="14"/>
      <c r="B721" s="14"/>
      <c r="C721" s="14"/>
      <c r="D721" s="14"/>
      <c r="E721" s="14"/>
      <c r="F721" s="15"/>
      <c r="G721" s="16"/>
      <c r="H721" s="15"/>
      <c r="I721" s="15"/>
      <c r="J721" s="14"/>
      <c r="K721" s="159">
        <f>SUM(K694:K720)</f>
        <v>8285</v>
      </c>
      <c r="L721" s="157">
        <f t="shared" ref="L721:M721" si="81">SUM(L694:L720)</f>
        <v>4740</v>
      </c>
      <c r="M721" s="157">
        <f t="shared" si="81"/>
        <v>13025</v>
      </c>
      <c r="N721" s="17"/>
      <c r="O721" s="145"/>
    </row>
    <row r="722" spans="1:15" s="9" customFormat="1" ht="16.5" customHeight="1">
      <c r="A722" s="133">
        <v>55</v>
      </c>
      <c r="B722" s="134">
        <v>1</v>
      </c>
      <c r="C722" s="134">
        <v>662</v>
      </c>
      <c r="D722" s="134" t="s">
        <v>75</v>
      </c>
      <c r="E722" s="134"/>
      <c r="F722" s="137" t="s">
        <v>265</v>
      </c>
      <c r="G722" s="165" t="s">
        <v>266</v>
      </c>
      <c r="H722" s="137" t="s">
        <v>267</v>
      </c>
      <c r="I722" s="134" t="s">
        <v>2595</v>
      </c>
      <c r="J722" s="134" t="s">
        <v>268</v>
      </c>
      <c r="K722" s="6">
        <v>3</v>
      </c>
      <c r="L722" s="6"/>
      <c r="M722" s="6">
        <f t="shared" ref="M722:M753" si="82">K722+L722</f>
        <v>3</v>
      </c>
      <c r="N722" s="8">
        <v>112170</v>
      </c>
      <c r="O722" s="149"/>
    </row>
    <row r="723" spans="1:15" s="9" customFormat="1" ht="16.5" customHeight="1">
      <c r="A723" s="2">
        <v>55</v>
      </c>
      <c r="B723" s="3">
        <v>2</v>
      </c>
      <c r="C723" s="3">
        <v>663</v>
      </c>
      <c r="D723" s="3" t="s">
        <v>75</v>
      </c>
      <c r="E723" s="3"/>
      <c r="F723" s="4" t="s">
        <v>269</v>
      </c>
      <c r="G723" s="5" t="s">
        <v>270</v>
      </c>
      <c r="H723" s="4" t="s">
        <v>84</v>
      </c>
      <c r="I723" s="3" t="s">
        <v>2596</v>
      </c>
      <c r="J723" s="3" t="s">
        <v>271</v>
      </c>
      <c r="K723" s="6">
        <v>50</v>
      </c>
      <c r="L723" s="6"/>
      <c r="M723" s="6">
        <f t="shared" si="82"/>
        <v>50</v>
      </c>
      <c r="N723" s="8">
        <v>34020</v>
      </c>
      <c r="O723" s="149" t="s">
        <v>2960</v>
      </c>
    </row>
    <row r="724" spans="1:15" s="9" customFormat="1" ht="16.5" customHeight="1">
      <c r="A724" s="2">
        <v>55</v>
      </c>
      <c r="B724" s="3">
        <v>3</v>
      </c>
      <c r="C724" s="134">
        <v>664</v>
      </c>
      <c r="D724" s="3" t="s">
        <v>75</v>
      </c>
      <c r="E724" s="3"/>
      <c r="F724" s="4" t="s">
        <v>272</v>
      </c>
      <c r="G724" s="5" t="s">
        <v>273</v>
      </c>
      <c r="H724" s="4" t="s">
        <v>274</v>
      </c>
      <c r="I724" s="3" t="s">
        <v>2597</v>
      </c>
      <c r="J724" s="3" t="s">
        <v>275</v>
      </c>
      <c r="K724" s="6">
        <v>5</v>
      </c>
      <c r="L724" s="6"/>
      <c r="M724" s="6">
        <f t="shared" si="82"/>
        <v>5</v>
      </c>
      <c r="N724" s="8">
        <v>47160</v>
      </c>
      <c r="O724" s="149" t="s">
        <v>2961</v>
      </c>
    </row>
    <row r="725" spans="1:15" s="9" customFormat="1" ht="16.5" customHeight="1">
      <c r="A725" s="2">
        <v>55</v>
      </c>
      <c r="B725" s="3">
        <v>4</v>
      </c>
      <c r="C725" s="3">
        <v>665</v>
      </c>
      <c r="D725" s="3" t="s">
        <v>75</v>
      </c>
      <c r="E725" s="3"/>
      <c r="F725" s="4" t="s">
        <v>276</v>
      </c>
      <c r="G725" s="5" t="s">
        <v>277</v>
      </c>
      <c r="H725" s="4" t="s">
        <v>278</v>
      </c>
      <c r="I725" s="3" t="s">
        <v>2597</v>
      </c>
      <c r="J725" s="3" t="s">
        <v>279</v>
      </c>
      <c r="K725" s="6">
        <v>1</v>
      </c>
      <c r="L725" s="6"/>
      <c r="M725" s="6">
        <f t="shared" si="82"/>
        <v>1</v>
      </c>
      <c r="N725" s="8">
        <v>162600</v>
      </c>
      <c r="O725" s="149" t="s">
        <v>2953</v>
      </c>
    </row>
    <row r="726" spans="1:15" s="9" customFormat="1" ht="16.5" customHeight="1">
      <c r="A726" s="2">
        <v>55</v>
      </c>
      <c r="B726" s="3">
        <v>5</v>
      </c>
      <c r="C726" s="134">
        <v>666</v>
      </c>
      <c r="D726" s="3" t="s">
        <v>75</v>
      </c>
      <c r="E726" s="3"/>
      <c r="F726" s="4" t="s">
        <v>280</v>
      </c>
      <c r="G726" s="5" t="s">
        <v>281</v>
      </c>
      <c r="H726" s="4" t="s">
        <v>282</v>
      </c>
      <c r="I726" s="3" t="s">
        <v>2598</v>
      </c>
      <c r="J726" s="3" t="s">
        <v>279</v>
      </c>
      <c r="K726" s="6">
        <v>1</v>
      </c>
      <c r="L726" s="6"/>
      <c r="M726" s="6">
        <f t="shared" si="82"/>
        <v>1</v>
      </c>
      <c r="N726" s="8">
        <v>209040</v>
      </c>
      <c r="O726" s="149" t="s">
        <v>2953</v>
      </c>
    </row>
    <row r="727" spans="1:15" s="9" customFormat="1" ht="16.5" customHeight="1">
      <c r="A727" s="2">
        <v>55</v>
      </c>
      <c r="B727" s="3">
        <v>6</v>
      </c>
      <c r="C727" s="3">
        <v>667</v>
      </c>
      <c r="D727" s="3" t="s">
        <v>75</v>
      </c>
      <c r="E727" s="3"/>
      <c r="F727" s="4" t="s">
        <v>283</v>
      </c>
      <c r="G727" s="5" t="s">
        <v>284</v>
      </c>
      <c r="H727" s="4" t="s">
        <v>285</v>
      </c>
      <c r="I727" s="3" t="s">
        <v>2599</v>
      </c>
      <c r="J727" s="3" t="s">
        <v>275</v>
      </c>
      <c r="K727" s="6">
        <v>5</v>
      </c>
      <c r="L727" s="6"/>
      <c r="M727" s="6">
        <f t="shared" si="82"/>
        <v>5</v>
      </c>
      <c r="N727" s="8">
        <v>46080</v>
      </c>
      <c r="O727" s="149" t="s">
        <v>2961</v>
      </c>
    </row>
    <row r="728" spans="1:15" s="9" customFormat="1" ht="16.5" customHeight="1">
      <c r="A728" s="2">
        <v>55</v>
      </c>
      <c r="B728" s="3">
        <v>7</v>
      </c>
      <c r="C728" s="134">
        <v>668</v>
      </c>
      <c r="D728" s="3" t="s">
        <v>75</v>
      </c>
      <c r="E728" s="3"/>
      <c r="F728" s="4" t="s">
        <v>286</v>
      </c>
      <c r="G728" s="5" t="s">
        <v>287</v>
      </c>
      <c r="H728" s="4" t="s">
        <v>288</v>
      </c>
      <c r="I728" s="3" t="s">
        <v>2598</v>
      </c>
      <c r="J728" s="3" t="s">
        <v>275</v>
      </c>
      <c r="K728" s="6">
        <v>5</v>
      </c>
      <c r="L728" s="6"/>
      <c r="M728" s="6">
        <f t="shared" si="82"/>
        <v>5</v>
      </c>
      <c r="N728" s="8">
        <v>52920</v>
      </c>
      <c r="O728" s="149" t="s">
        <v>2961</v>
      </c>
    </row>
    <row r="729" spans="1:15" s="9" customFormat="1" ht="16.5" customHeight="1">
      <c r="A729" s="2">
        <v>55</v>
      </c>
      <c r="B729" s="3">
        <v>8</v>
      </c>
      <c r="C729" s="3">
        <v>669</v>
      </c>
      <c r="D729" s="3" t="s">
        <v>75</v>
      </c>
      <c r="E729" s="3"/>
      <c r="F729" s="4" t="s">
        <v>289</v>
      </c>
      <c r="G729" s="5" t="s">
        <v>290</v>
      </c>
      <c r="H729" s="4" t="s">
        <v>291</v>
      </c>
      <c r="I729" s="3" t="s">
        <v>2597</v>
      </c>
      <c r="J729" s="3" t="s">
        <v>275</v>
      </c>
      <c r="K729" s="6">
        <v>5</v>
      </c>
      <c r="L729" s="6"/>
      <c r="M729" s="6">
        <f t="shared" si="82"/>
        <v>5</v>
      </c>
      <c r="N729" s="8">
        <v>47160</v>
      </c>
      <c r="O729" s="149" t="s">
        <v>2961</v>
      </c>
    </row>
    <row r="730" spans="1:15" s="9" customFormat="1" ht="16.5" customHeight="1">
      <c r="A730" s="2">
        <v>55</v>
      </c>
      <c r="B730" s="3">
        <v>9</v>
      </c>
      <c r="C730" s="134">
        <v>670</v>
      </c>
      <c r="D730" s="3" t="s">
        <v>75</v>
      </c>
      <c r="E730" s="3"/>
      <c r="F730" s="4" t="s">
        <v>292</v>
      </c>
      <c r="G730" s="5" t="s">
        <v>293</v>
      </c>
      <c r="H730" s="4" t="s">
        <v>294</v>
      </c>
      <c r="I730" s="3" t="s">
        <v>2597</v>
      </c>
      <c r="J730" s="3" t="s">
        <v>275</v>
      </c>
      <c r="K730" s="6">
        <v>5</v>
      </c>
      <c r="L730" s="6"/>
      <c r="M730" s="6">
        <f t="shared" si="82"/>
        <v>5</v>
      </c>
      <c r="N730" s="8">
        <v>63360</v>
      </c>
      <c r="O730" s="149" t="s">
        <v>2961</v>
      </c>
    </row>
    <row r="731" spans="1:15" s="9" customFormat="1" ht="16.5" customHeight="1">
      <c r="A731" s="2">
        <v>55</v>
      </c>
      <c r="B731" s="3">
        <v>10</v>
      </c>
      <c r="C731" s="3">
        <v>671</v>
      </c>
      <c r="D731" s="3" t="s">
        <v>75</v>
      </c>
      <c r="E731" s="3"/>
      <c r="F731" s="4" t="s">
        <v>295</v>
      </c>
      <c r="G731" s="5" t="s">
        <v>296</v>
      </c>
      <c r="H731" s="4" t="s">
        <v>297</v>
      </c>
      <c r="I731" s="3" t="s">
        <v>2597</v>
      </c>
      <c r="J731" s="3" t="s">
        <v>275</v>
      </c>
      <c r="K731" s="6">
        <v>3</v>
      </c>
      <c r="L731" s="6"/>
      <c r="M731" s="6">
        <f t="shared" si="82"/>
        <v>3</v>
      </c>
      <c r="N731" s="8">
        <v>65520</v>
      </c>
      <c r="O731" s="149" t="s">
        <v>2961</v>
      </c>
    </row>
    <row r="732" spans="1:15" s="9" customFormat="1" ht="16.5" customHeight="1">
      <c r="A732" s="2">
        <v>55</v>
      </c>
      <c r="B732" s="3">
        <v>11</v>
      </c>
      <c r="C732" s="134">
        <v>672</v>
      </c>
      <c r="D732" s="3" t="s">
        <v>75</v>
      </c>
      <c r="E732" s="3"/>
      <c r="F732" s="4" t="s">
        <v>298</v>
      </c>
      <c r="G732" s="5" t="s">
        <v>299</v>
      </c>
      <c r="H732" s="4" t="s">
        <v>300</v>
      </c>
      <c r="I732" s="3" t="s">
        <v>2597</v>
      </c>
      <c r="J732" s="3" t="s">
        <v>275</v>
      </c>
      <c r="K732" s="6">
        <v>1</v>
      </c>
      <c r="L732" s="6"/>
      <c r="M732" s="6">
        <f t="shared" si="82"/>
        <v>1</v>
      </c>
      <c r="N732" s="8">
        <v>65520</v>
      </c>
      <c r="O732" s="149" t="s">
        <v>2961</v>
      </c>
    </row>
    <row r="733" spans="1:15" s="9" customFormat="1" ht="16.5" customHeight="1">
      <c r="A733" s="2">
        <v>55</v>
      </c>
      <c r="B733" s="3">
        <v>12</v>
      </c>
      <c r="C733" s="3">
        <v>673</v>
      </c>
      <c r="D733" s="3" t="s">
        <v>75</v>
      </c>
      <c r="E733" s="3"/>
      <c r="F733" s="4" t="s">
        <v>301</v>
      </c>
      <c r="G733" s="5" t="s">
        <v>302</v>
      </c>
      <c r="H733" s="4" t="s">
        <v>303</v>
      </c>
      <c r="I733" s="3" t="s">
        <v>2600</v>
      </c>
      <c r="J733" s="3" t="s">
        <v>279</v>
      </c>
      <c r="K733" s="6">
        <v>1</v>
      </c>
      <c r="L733" s="6"/>
      <c r="M733" s="6">
        <f t="shared" si="82"/>
        <v>1</v>
      </c>
      <c r="N733" s="8">
        <v>68880</v>
      </c>
      <c r="O733" s="149" t="s">
        <v>2962</v>
      </c>
    </row>
    <row r="734" spans="1:15" s="9" customFormat="1" ht="16.5" customHeight="1">
      <c r="A734" s="2">
        <v>55</v>
      </c>
      <c r="B734" s="3">
        <v>13</v>
      </c>
      <c r="C734" s="134">
        <v>674</v>
      </c>
      <c r="D734" s="3" t="s">
        <v>75</v>
      </c>
      <c r="E734" s="3"/>
      <c r="F734" s="4" t="s">
        <v>304</v>
      </c>
      <c r="G734" s="5" t="s">
        <v>305</v>
      </c>
      <c r="H734" s="4" t="s">
        <v>306</v>
      </c>
      <c r="I734" s="3" t="s">
        <v>2599</v>
      </c>
      <c r="J734" s="3" t="s">
        <v>279</v>
      </c>
      <c r="K734" s="6">
        <v>1</v>
      </c>
      <c r="L734" s="6"/>
      <c r="M734" s="6">
        <f t="shared" si="82"/>
        <v>1</v>
      </c>
      <c r="N734" s="8">
        <v>165960</v>
      </c>
      <c r="O734" s="149" t="s">
        <v>2962</v>
      </c>
    </row>
    <row r="735" spans="1:15" s="9" customFormat="1" ht="16.5" customHeight="1">
      <c r="A735" s="2">
        <v>55</v>
      </c>
      <c r="B735" s="3">
        <v>14</v>
      </c>
      <c r="C735" s="3">
        <v>675</v>
      </c>
      <c r="D735" s="3" t="s">
        <v>14</v>
      </c>
      <c r="E735" s="3"/>
      <c r="F735" s="4" t="s">
        <v>307</v>
      </c>
      <c r="G735" s="5" t="s">
        <v>308</v>
      </c>
      <c r="H735" s="4" t="s">
        <v>309</v>
      </c>
      <c r="I735" s="3" t="s">
        <v>2601</v>
      </c>
      <c r="J735" s="3" t="s">
        <v>310</v>
      </c>
      <c r="K735" s="6">
        <v>3</v>
      </c>
      <c r="L735" s="6"/>
      <c r="M735" s="6">
        <f t="shared" si="82"/>
        <v>3</v>
      </c>
      <c r="N735" s="8">
        <v>53700</v>
      </c>
      <c r="O735" s="149" t="s">
        <v>2963</v>
      </c>
    </row>
    <row r="736" spans="1:15" s="9" customFormat="1" ht="16.5" customHeight="1">
      <c r="A736" s="2">
        <v>55</v>
      </c>
      <c r="B736" s="3">
        <v>15</v>
      </c>
      <c r="C736" s="134">
        <v>676</v>
      </c>
      <c r="D736" s="3" t="s">
        <v>14</v>
      </c>
      <c r="E736" s="3"/>
      <c r="F736" s="4" t="s">
        <v>311</v>
      </c>
      <c r="G736" s="5" t="s">
        <v>312</v>
      </c>
      <c r="H736" s="4" t="s">
        <v>313</v>
      </c>
      <c r="I736" s="3" t="s">
        <v>2602</v>
      </c>
      <c r="J736" s="3" t="s">
        <v>310</v>
      </c>
      <c r="K736" s="6">
        <v>5</v>
      </c>
      <c r="L736" s="6"/>
      <c r="M736" s="6">
        <f t="shared" si="82"/>
        <v>5</v>
      </c>
      <c r="N736" s="8">
        <v>209200</v>
      </c>
      <c r="O736" s="149" t="s">
        <v>2963</v>
      </c>
    </row>
    <row r="737" spans="1:15" s="9" customFormat="1" ht="16.5" customHeight="1">
      <c r="A737" s="2">
        <v>55</v>
      </c>
      <c r="B737" s="3">
        <v>16</v>
      </c>
      <c r="C737" s="3">
        <v>677</v>
      </c>
      <c r="D737" s="3" t="s">
        <v>14</v>
      </c>
      <c r="E737" s="3"/>
      <c r="F737" s="4" t="s">
        <v>307</v>
      </c>
      <c r="G737" s="5" t="s">
        <v>314</v>
      </c>
      <c r="H737" s="4" t="s">
        <v>309</v>
      </c>
      <c r="I737" s="3" t="s">
        <v>2603</v>
      </c>
      <c r="J737" s="3" t="s">
        <v>310</v>
      </c>
      <c r="K737" s="6">
        <v>10</v>
      </c>
      <c r="L737" s="6"/>
      <c r="M737" s="6">
        <f t="shared" si="82"/>
        <v>10</v>
      </c>
      <c r="N737" s="8">
        <v>53700</v>
      </c>
      <c r="O737" s="149" t="s">
        <v>2963</v>
      </c>
    </row>
    <row r="738" spans="1:15" s="9" customFormat="1" ht="16.5" customHeight="1">
      <c r="A738" s="2">
        <v>55</v>
      </c>
      <c r="B738" s="3">
        <v>17</v>
      </c>
      <c r="C738" s="134">
        <v>678</v>
      </c>
      <c r="D738" s="3" t="s">
        <v>315</v>
      </c>
      <c r="E738" s="3"/>
      <c r="F738" s="4"/>
      <c r="G738" s="5" t="s">
        <v>316</v>
      </c>
      <c r="H738" s="4" t="s">
        <v>317</v>
      </c>
      <c r="I738" s="3" t="s">
        <v>2604</v>
      </c>
      <c r="J738" s="3" t="s">
        <v>35</v>
      </c>
      <c r="K738" s="6">
        <v>150</v>
      </c>
      <c r="L738" s="6"/>
      <c r="M738" s="6">
        <f t="shared" si="82"/>
        <v>150</v>
      </c>
      <c r="N738" s="8" t="s">
        <v>2934</v>
      </c>
      <c r="O738" s="149"/>
    </row>
    <row r="739" spans="1:15" s="9" customFormat="1" ht="16.5" customHeight="1">
      <c r="A739" s="2">
        <v>55</v>
      </c>
      <c r="B739" s="3">
        <v>18</v>
      </c>
      <c r="C739" s="3">
        <v>679</v>
      </c>
      <c r="D739" s="3" t="s">
        <v>75</v>
      </c>
      <c r="E739" s="3"/>
      <c r="F739" s="4" t="s">
        <v>318</v>
      </c>
      <c r="G739" s="5" t="s">
        <v>319</v>
      </c>
      <c r="H739" s="4" t="s">
        <v>320</v>
      </c>
      <c r="I739" s="3" t="s">
        <v>2605</v>
      </c>
      <c r="J739" s="3" t="s">
        <v>35</v>
      </c>
      <c r="K739" s="6">
        <v>100</v>
      </c>
      <c r="L739" s="6"/>
      <c r="M739" s="6">
        <f t="shared" si="82"/>
        <v>100</v>
      </c>
      <c r="N739" s="8">
        <v>40850</v>
      </c>
      <c r="O739" s="149"/>
    </row>
    <row r="740" spans="1:15" s="9" customFormat="1" ht="16.5" customHeight="1">
      <c r="A740" s="2">
        <v>55</v>
      </c>
      <c r="B740" s="3">
        <v>19</v>
      </c>
      <c r="C740" s="134">
        <v>680</v>
      </c>
      <c r="D740" s="3" t="s">
        <v>75</v>
      </c>
      <c r="E740" s="3"/>
      <c r="F740" s="4" t="s">
        <v>321</v>
      </c>
      <c r="G740" s="5" t="s">
        <v>322</v>
      </c>
      <c r="H740" s="4" t="s">
        <v>84</v>
      </c>
      <c r="I740" s="3" t="s">
        <v>2606</v>
      </c>
      <c r="J740" s="3" t="s">
        <v>79</v>
      </c>
      <c r="K740" s="6">
        <v>500</v>
      </c>
      <c r="L740" s="6"/>
      <c r="M740" s="6">
        <f t="shared" si="82"/>
        <v>500</v>
      </c>
      <c r="N740" s="8">
        <v>124870</v>
      </c>
      <c r="O740" s="149"/>
    </row>
    <row r="741" spans="1:15" s="9" customFormat="1" ht="16.5" customHeight="1">
      <c r="A741" s="2">
        <v>55</v>
      </c>
      <c r="B741" s="3">
        <v>20</v>
      </c>
      <c r="C741" s="3">
        <v>681</v>
      </c>
      <c r="D741" s="3"/>
      <c r="E741" s="3" t="s">
        <v>75</v>
      </c>
      <c r="F741" s="4" t="s">
        <v>1772</v>
      </c>
      <c r="G741" s="5" t="s">
        <v>1771</v>
      </c>
      <c r="H741" s="4">
        <v>1</v>
      </c>
      <c r="I741" s="3" t="s">
        <v>2607</v>
      </c>
      <c r="J741" s="3" t="s">
        <v>85</v>
      </c>
      <c r="K741" s="6"/>
      <c r="L741" s="6">
        <v>216</v>
      </c>
      <c r="M741" s="6">
        <f t="shared" si="82"/>
        <v>216</v>
      </c>
      <c r="N741" s="8">
        <v>3870</v>
      </c>
      <c r="O741" s="149"/>
    </row>
    <row r="742" spans="1:15" s="9" customFormat="1" ht="16.5" customHeight="1">
      <c r="A742" s="2">
        <v>55</v>
      </c>
      <c r="B742" s="3">
        <v>21</v>
      </c>
      <c r="C742" s="134">
        <v>682</v>
      </c>
      <c r="D742" s="3"/>
      <c r="E742" s="3" t="s">
        <v>75</v>
      </c>
      <c r="F742" s="4" t="s">
        <v>1770</v>
      </c>
      <c r="G742" s="5" t="s">
        <v>1769</v>
      </c>
      <c r="H742" s="4" t="s">
        <v>1768</v>
      </c>
      <c r="I742" s="3" t="s">
        <v>2608</v>
      </c>
      <c r="J742" s="3" t="s">
        <v>85</v>
      </c>
      <c r="K742" s="6"/>
      <c r="L742" s="6">
        <v>144</v>
      </c>
      <c r="M742" s="6">
        <f t="shared" si="82"/>
        <v>144</v>
      </c>
      <c r="N742" s="8">
        <v>4100</v>
      </c>
      <c r="O742" s="149"/>
    </row>
    <row r="743" spans="1:15" s="9" customFormat="1" ht="16.5" customHeight="1">
      <c r="A743" s="2">
        <v>55</v>
      </c>
      <c r="B743" s="3">
        <v>22</v>
      </c>
      <c r="C743" s="3">
        <v>683</v>
      </c>
      <c r="D743" s="3"/>
      <c r="E743" s="3" t="s">
        <v>75</v>
      </c>
      <c r="F743" s="4" t="s">
        <v>1767</v>
      </c>
      <c r="G743" s="5" t="s">
        <v>1766</v>
      </c>
      <c r="H743" s="4" t="s">
        <v>1765</v>
      </c>
      <c r="I743" s="3" t="s">
        <v>2609</v>
      </c>
      <c r="J743" s="3" t="s">
        <v>85</v>
      </c>
      <c r="K743" s="6"/>
      <c r="L743" s="6">
        <v>252</v>
      </c>
      <c r="M743" s="6">
        <f t="shared" si="82"/>
        <v>252</v>
      </c>
      <c r="N743" s="8">
        <v>4100</v>
      </c>
      <c r="O743" s="149"/>
    </row>
    <row r="744" spans="1:15" s="9" customFormat="1" ht="16.5" customHeight="1">
      <c r="A744" s="2">
        <v>55</v>
      </c>
      <c r="B744" s="3">
        <v>23</v>
      </c>
      <c r="C744" s="134">
        <v>684</v>
      </c>
      <c r="D744" s="3"/>
      <c r="E744" s="3" t="s">
        <v>1764</v>
      </c>
      <c r="F744" s="4" t="s">
        <v>1763</v>
      </c>
      <c r="G744" s="5" t="s">
        <v>1762</v>
      </c>
      <c r="H744" s="4" t="s">
        <v>1761</v>
      </c>
      <c r="I744" s="3" t="s">
        <v>2610</v>
      </c>
      <c r="J744" s="3" t="s">
        <v>85</v>
      </c>
      <c r="K744" s="6"/>
      <c r="L744" s="6">
        <v>108</v>
      </c>
      <c r="M744" s="6">
        <f t="shared" si="82"/>
        <v>108</v>
      </c>
      <c r="N744" s="8">
        <v>3700</v>
      </c>
      <c r="O744" s="149"/>
    </row>
    <row r="745" spans="1:15" s="9" customFormat="1" ht="16.5" customHeight="1">
      <c r="A745" s="2">
        <v>55</v>
      </c>
      <c r="B745" s="3">
        <v>24</v>
      </c>
      <c r="C745" s="3">
        <v>685</v>
      </c>
      <c r="D745" s="3" t="s">
        <v>75</v>
      </c>
      <c r="E745" s="3"/>
      <c r="F745" s="4" t="s">
        <v>323</v>
      </c>
      <c r="G745" s="5" t="s">
        <v>324</v>
      </c>
      <c r="H745" s="4" t="s">
        <v>325</v>
      </c>
      <c r="I745" s="3" t="s">
        <v>2598</v>
      </c>
      <c r="J745" s="3" t="s">
        <v>275</v>
      </c>
      <c r="K745" s="6">
        <v>2</v>
      </c>
      <c r="L745" s="6"/>
      <c r="M745" s="6">
        <f t="shared" si="82"/>
        <v>2</v>
      </c>
      <c r="N745" s="8">
        <v>133200</v>
      </c>
      <c r="O745" s="149" t="s">
        <v>2964</v>
      </c>
    </row>
    <row r="746" spans="1:15" s="9" customFormat="1" ht="16.5" customHeight="1">
      <c r="A746" s="2">
        <v>55</v>
      </c>
      <c r="B746" s="3">
        <v>25</v>
      </c>
      <c r="C746" s="134">
        <v>686</v>
      </c>
      <c r="D746" s="3"/>
      <c r="E746" s="3" t="s">
        <v>75</v>
      </c>
      <c r="F746" s="4" t="s">
        <v>323</v>
      </c>
      <c r="G746" s="5" t="s">
        <v>1760</v>
      </c>
      <c r="H746" s="4" t="s">
        <v>1759</v>
      </c>
      <c r="I746" s="3" t="s">
        <v>2607</v>
      </c>
      <c r="J746" s="3" t="s">
        <v>85</v>
      </c>
      <c r="K746" s="6"/>
      <c r="L746" s="6">
        <v>36</v>
      </c>
      <c r="M746" s="6">
        <f t="shared" si="82"/>
        <v>36</v>
      </c>
      <c r="N746" s="8">
        <v>3700</v>
      </c>
      <c r="O746" s="149"/>
    </row>
    <row r="747" spans="1:15" s="9" customFormat="1" ht="16.5" customHeight="1">
      <c r="A747" s="2">
        <v>55</v>
      </c>
      <c r="B747" s="3">
        <v>26</v>
      </c>
      <c r="C747" s="3">
        <v>687</v>
      </c>
      <c r="D747" s="3" t="s">
        <v>75</v>
      </c>
      <c r="E747" s="3"/>
      <c r="F747" s="4" t="s">
        <v>326</v>
      </c>
      <c r="G747" s="5" t="s">
        <v>327</v>
      </c>
      <c r="H747" s="4" t="s">
        <v>328</v>
      </c>
      <c r="I747" s="3" t="s">
        <v>2597</v>
      </c>
      <c r="J747" s="3" t="s">
        <v>275</v>
      </c>
      <c r="K747" s="6">
        <v>2</v>
      </c>
      <c r="L747" s="6"/>
      <c r="M747" s="6">
        <f t="shared" si="82"/>
        <v>2</v>
      </c>
      <c r="N747" s="8">
        <v>139320</v>
      </c>
      <c r="O747" s="149" t="s">
        <v>2964</v>
      </c>
    </row>
    <row r="748" spans="1:15" s="9" customFormat="1" ht="16.5" customHeight="1">
      <c r="A748" s="2">
        <v>55</v>
      </c>
      <c r="B748" s="3">
        <v>27</v>
      </c>
      <c r="C748" s="134">
        <v>688</v>
      </c>
      <c r="D748" s="3" t="s">
        <v>75</v>
      </c>
      <c r="E748" s="3"/>
      <c r="F748" s="4" t="s">
        <v>329</v>
      </c>
      <c r="G748" s="5" t="s">
        <v>330</v>
      </c>
      <c r="H748" s="4" t="s">
        <v>331</v>
      </c>
      <c r="I748" s="3" t="s">
        <v>2598</v>
      </c>
      <c r="J748" s="3" t="s">
        <v>275</v>
      </c>
      <c r="K748" s="6">
        <v>2</v>
      </c>
      <c r="L748" s="6"/>
      <c r="M748" s="6">
        <f t="shared" si="82"/>
        <v>2</v>
      </c>
      <c r="N748" s="8">
        <v>147600</v>
      </c>
      <c r="O748" s="149" t="s">
        <v>2964</v>
      </c>
    </row>
    <row r="749" spans="1:15" s="9" customFormat="1" ht="16.5" customHeight="1">
      <c r="A749" s="2">
        <v>55</v>
      </c>
      <c r="B749" s="3">
        <v>28</v>
      </c>
      <c r="C749" s="3">
        <v>689</v>
      </c>
      <c r="D749" s="3" t="s">
        <v>75</v>
      </c>
      <c r="E749" s="3"/>
      <c r="F749" s="4" t="s">
        <v>332</v>
      </c>
      <c r="G749" s="5" t="s">
        <v>333</v>
      </c>
      <c r="H749" s="4" t="s">
        <v>334</v>
      </c>
      <c r="I749" s="3" t="s">
        <v>2600</v>
      </c>
      <c r="J749" s="3" t="s">
        <v>275</v>
      </c>
      <c r="K749" s="6">
        <v>2</v>
      </c>
      <c r="L749" s="6"/>
      <c r="M749" s="6">
        <f t="shared" si="82"/>
        <v>2</v>
      </c>
      <c r="N749" s="8">
        <v>147600</v>
      </c>
      <c r="O749" s="149" t="s">
        <v>2964</v>
      </c>
    </row>
    <row r="750" spans="1:15" s="9" customFormat="1" ht="16.5" customHeight="1">
      <c r="A750" s="2">
        <v>55</v>
      </c>
      <c r="B750" s="3">
        <v>29</v>
      </c>
      <c r="C750" s="134">
        <v>690</v>
      </c>
      <c r="D750" s="3" t="s">
        <v>75</v>
      </c>
      <c r="E750" s="3"/>
      <c r="F750" s="4" t="s">
        <v>335</v>
      </c>
      <c r="G750" s="5" t="s">
        <v>336</v>
      </c>
      <c r="H750" s="4" t="s">
        <v>337</v>
      </c>
      <c r="I750" s="3" t="s">
        <v>2597</v>
      </c>
      <c r="J750" s="3" t="s">
        <v>275</v>
      </c>
      <c r="K750" s="6">
        <v>2</v>
      </c>
      <c r="L750" s="6"/>
      <c r="M750" s="6">
        <f t="shared" si="82"/>
        <v>2</v>
      </c>
      <c r="N750" s="8">
        <v>139320</v>
      </c>
      <c r="O750" s="149" t="s">
        <v>2964</v>
      </c>
    </row>
    <row r="751" spans="1:15" s="9" customFormat="1" ht="16.5" customHeight="1">
      <c r="A751" s="2">
        <v>55</v>
      </c>
      <c r="B751" s="3">
        <v>30</v>
      </c>
      <c r="C751" s="3">
        <v>691</v>
      </c>
      <c r="D751" s="3" t="s">
        <v>75</v>
      </c>
      <c r="E751" s="3"/>
      <c r="F751" s="4" t="s">
        <v>338</v>
      </c>
      <c r="G751" s="5" t="s">
        <v>339</v>
      </c>
      <c r="H751" s="4" t="s">
        <v>340</v>
      </c>
      <c r="I751" s="3" t="s">
        <v>2611</v>
      </c>
      <c r="J751" s="3" t="s">
        <v>275</v>
      </c>
      <c r="K751" s="6">
        <v>2</v>
      </c>
      <c r="L751" s="6"/>
      <c r="M751" s="6">
        <f t="shared" si="82"/>
        <v>2</v>
      </c>
      <c r="N751" s="8">
        <v>147600</v>
      </c>
      <c r="O751" s="149" t="s">
        <v>2964</v>
      </c>
    </row>
    <row r="752" spans="1:15" s="9" customFormat="1" ht="16.5" customHeight="1">
      <c r="A752" s="2">
        <v>55</v>
      </c>
      <c r="B752" s="3">
        <v>31</v>
      </c>
      <c r="C752" s="134">
        <v>692</v>
      </c>
      <c r="D752" s="3" t="s">
        <v>75</v>
      </c>
      <c r="E752" s="3"/>
      <c r="F752" s="4" t="s">
        <v>341</v>
      </c>
      <c r="G752" s="5" t="s">
        <v>342</v>
      </c>
      <c r="H752" s="4" t="s">
        <v>343</v>
      </c>
      <c r="I752" s="3" t="s">
        <v>2597</v>
      </c>
      <c r="J752" s="3" t="s">
        <v>275</v>
      </c>
      <c r="K752" s="6">
        <v>2</v>
      </c>
      <c r="L752" s="6"/>
      <c r="M752" s="6">
        <f t="shared" si="82"/>
        <v>2</v>
      </c>
      <c r="N752" s="8">
        <v>147600</v>
      </c>
      <c r="O752" s="149" t="s">
        <v>2964</v>
      </c>
    </row>
    <row r="753" spans="1:15" s="9" customFormat="1" ht="16.5" customHeight="1">
      <c r="A753" s="2">
        <v>55</v>
      </c>
      <c r="B753" s="3">
        <v>32</v>
      </c>
      <c r="C753" s="3">
        <v>693</v>
      </c>
      <c r="D753" s="3" t="s">
        <v>75</v>
      </c>
      <c r="E753" s="3"/>
      <c r="F753" s="4" t="s">
        <v>344</v>
      </c>
      <c r="G753" s="5" t="s">
        <v>345</v>
      </c>
      <c r="H753" s="4" t="s">
        <v>346</v>
      </c>
      <c r="I753" s="3" t="s">
        <v>2597</v>
      </c>
      <c r="J753" s="3" t="s">
        <v>275</v>
      </c>
      <c r="K753" s="6">
        <v>2</v>
      </c>
      <c r="L753" s="6"/>
      <c r="M753" s="6">
        <f t="shared" si="82"/>
        <v>2</v>
      </c>
      <c r="N753" s="8">
        <v>133200</v>
      </c>
      <c r="O753" s="149" t="s">
        <v>2964</v>
      </c>
    </row>
    <row r="754" spans="1:15" s="9" customFormat="1" ht="16.5" customHeight="1">
      <c r="A754" s="2">
        <v>55</v>
      </c>
      <c r="B754" s="3">
        <v>33</v>
      </c>
      <c r="C754" s="134">
        <v>694</v>
      </c>
      <c r="D754" s="3" t="s">
        <v>75</v>
      </c>
      <c r="E754" s="3"/>
      <c r="F754" s="4" t="s">
        <v>347</v>
      </c>
      <c r="G754" s="5" t="s">
        <v>348</v>
      </c>
      <c r="H754" s="4" t="s">
        <v>349</v>
      </c>
      <c r="I754" s="3" t="s">
        <v>2597</v>
      </c>
      <c r="J754" s="3" t="s">
        <v>275</v>
      </c>
      <c r="K754" s="6">
        <v>2</v>
      </c>
      <c r="L754" s="6"/>
      <c r="M754" s="6">
        <f t="shared" ref="M754:M772" si="83">K754+L754</f>
        <v>2</v>
      </c>
      <c r="N754" s="8">
        <v>133200</v>
      </c>
      <c r="O754" s="149" t="s">
        <v>2964</v>
      </c>
    </row>
    <row r="755" spans="1:15" s="9" customFormat="1" ht="16.5" customHeight="1">
      <c r="A755" s="2">
        <v>55</v>
      </c>
      <c r="B755" s="3">
        <v>34</v>
      </c>
      <c r="C755" s="3">
        <v>695</v>
      </c>
      <c r="D755" s="3" t="s">
        <v>75</v>
      </c>
      <c r="E755" s="3"/>
      <c r="F755" s="4" t="s">
        <v>347</v>
      </c>
      <c r="G755" s="5" t="s">
        <v>350</v>
      </c>
      <c r="H755" s="4" t="s">
        <v>351</v>
      </c>
      <c r="I755" s="3" t="s">
        <v>2598</v>
      </c>
      <c r="J755" s="3" t="s">
        <v>352</v>
      </c>
      <c r="K755" s="6">
        <v>2</v>
      </c>
      <c r="L755" s="6"/>
      <c r="M755" s="6">
        <f t="shared" si="83"/>
        <v>2</v>
      </c>
      <c r="N755" s="8">
        <v>133200</v>
      </c>
      <c r="O755" s="149" t="s">
        <v>2964</v>
      </c>
    </row>
    <row r="756" spans="1:15" s="9" customFormat="1" ht="16.5" customHeight="1">
      <c r="A756" s="2">
        <v>55</v>
      </c>
      <c r="B756" s="3">
        <v>35</v>
      </c>
      <c r="C756" s="134">
        <v>696</v>
      </c>
      <c r="D756" s="3" t="s">
        <v>75</v>
      </c>
      <c r="E756" s="3"/>
      <c r="F756" s="4" t="s">
        <v>353</v>
      </c>
      <c r="G756" s="5" t="s">
        <v>354</v>
      </c>
      <c r="H756" s="4" t="s">
        <v>355</v>
      </c>
      <c r="I756" s="3" t="s">
        <v>2600</v>
      </c>
      <c r="J756" s="3" t="s">
        <v>275</v>
      </c>
      <c r="K756" s="6">
        <v>2</v>
      </c>
      <c r="L756" s="6"/>
      <c r="M756" s="6">
        <f t="shared" si="83"/>
        <v>2</v>
      </c>
      <c r="N756" s="8">
        <v>146880</v>
      </c>
      <c r="O756" s="149" t="s">
        <v>2964</v>
      </c>
    </row>
    <row r="757" spans="1:15" s="9" customFormat="1" ht="16.5" customHeight="1">
      <c r="A757" s="2">
        <v>55</v>
      </c>
      <c r="B757" s="3">
        <v>36</v>
      </c>
      <c r="C757" s="3">
        <v>697</v>
      </c>
      <c r="D757" s="3" t="s">
        <v>75</v>
      </c>
      <c r="E757" s="3"/>
      <c r="F757" s="4" t="s">
        <v>356</v>
      </c>
      <c r="G757" s="5" t="s">
        <v>357</v>
      </c>
      <c r="H757" s="4" t="s">
        <v>358</v>
      </c>
      <c r="I757" s="3" t="s">
        <v>2597</v>
      </c>
      <c r="J757" s="3" t="s">
        <v>275</v>
      </c>
      <c r="K757" s="6">
        <v>2</v>
      </c>
      <c r="L757" s="6"/>
      <c r="M757" s="6">
        <f t="shared" si="83"/>
        <v>2</v>
      </c>
      <c r="N757" s="8">
        <v>146880</v>
      </c>
      <c r="O757" s="149" t="s">
        <v>2964</v>
      </c>
    </row>
    <row r="758" spans="1:15" s="9" customFormat="1" ht="16.5" customHeight="1">
      <c r="A758" s="2">
        <v>55</v>
      </c>
      <c r="B758" s="3">
        <v>37</v>
      </c>
      <c r="C758" s="134">
        <v>698</v>
      </c>
      <c r="D758" s="3"/>
      <c r="E758" s="3" t="s">
        <v>1780</v>
      </c>
      <c r="F758" s="4" t="s">
        <v>1773</v>
      </c>
      <c r="G758" s="5" t="s">
        <v>1775</v>
      </c>
      <c r="H758" s="4" t="s">
        <v>84</v>
      </c>
      <c r="I758" s="3" t="s">
        <v>2612</v>
      </c>
      <c r="J758" s="3" t="s">
        <v>85</v>
      </c>
      <c r="K758" s="6"/>
      <c r="L758" s="6">
        <v>2</v>
      </c>
      <c r="M758" s="6">
        <f t="shared" si="83"/>
        <v>2</v>
      </c>
      <c r="N758" s="8">
        <v>24490</v>
      </c>
      <c r="O758" s="149"/>
    </row>
    <row r="759" spans="1:15" s="9" customFormat="1" ht="25.5" customHeight="1">
      <c r="A759" s="2">
        <v>55</v>
      </c>
      <c r="B759" s="3">
        <v>38</v>
      </c>
      <c r="C759" s="3">
        <v>699</v>
      </c>
      <c r="D759" s="3"/>
      <c r="E759" s="3" t="s">
        <v>1779</v>
      </c>
      <c r="F759" s="4" t="s">
        <v>1774</v>
      </c>
      <c r="G759" s="101" t="s">
        <v>1778</v>
      </c>
      <c r="H759" s="39" t="s">
        <v>1777</v>
      </c>
      <c r="I759" s="3" t="s">
        <v>2613</v>
      </c>
      <c r="J759" s="3" t="s">
        <v>85</v>
      </c>
      <c r="K759" s="6"/>
      <c r="L759" s="6">
        <v>2</v>
      </c>
      <c r="M759" s="6">
        <f t="shared" si="83"/>
        <v>2</v>
      </c>
      <c r="N759" s="8">
        <v>97680</v>
      </c>
      <c r="O759" s="149" t="s">
        <v>1776</v>
      </c>
    </row>
    <row r="760" spans="1:15" s="9" customFormat="1" ht="16.5" customHeight="1">
      <c r="A760" s="2">
        <v>55</v>
      </c>
      <c r="B760" s="3">
        <v>39</v>
      </c>
      <c r="C760" s="134">
        <v>700</v>
      </c>
      <c r="D760" s="3" t="s">
        <v>75</v>
      </c>
      <c r="E760" s="3"/>
      <c r="F760" s="4" t="s">
        <v>359</v>
      </c>
      <c r="G760" s="5" t="s">
        <v>360</v>
      </c>
      <c r="H760" s="4" t="s">
        <v>361</v>
      </c>
      <c r="I760" s="3" t="s">
        <v>2597</v>
      </c>
      <c r="J760" s="3" t="s">
        <v>362</v>
      </c>
      <c r="K760" s="6">
        <v>2</v>
      </c>
      <c r="L760" s="6"/>
      <c r="M760" s="6">
        <f t="shared" si="83"/>
        <v>2</v>
      </c>
      <c r="N760" s="8">
        <v>55440</v>
      </c>
      <c r="O760" s="149" t="s">
        <v>2965</v>
      </c>
    </row>
    <row r="761" spans="1:15" s="9" customFormat="1" ht="16.5" customHeight="1">
      <c r="A761" s="2">
        <v>55</v>
      </c>
      <c r="B761" s="3">
        <v>40</v>
      </c>
      <c r="C761" s="3">
        <v>701</v>
      </c>
      <c r="D761" s="3" t="s">
        <v>75</v>
      </c>
      <c r="E761" s="3"/>
      <c r="F761" s="4" t="s">
        <v>363</v>
      </c>
      <c r="G761" s="5" t="s">
        <v>364</v>
      </c>
      <c r="H761" s="4" t="s">
        <v>365</v>
      </c>
      <c r="I761" s="3" t="s">
        <v>2598</v>
      </c>
      <c r="J761" s="3" t="s">
        <v>362</v>
      </c>
      <c r="K761" s="6">
        <v>2</v>
      </c>
      <c r="L761" s="6"/>
      <c r="M761" s="6">
        <f t="shared" si="83"/>
        <v>2</v>
      </c>
      <c r="N761" s="8">
        <v>55440</v>
      </c>
      <c r="O761" s="149" t="s">
        <v>2965</v>
      </c>
    </row>
    <row r="762" spans="1:15" s="9" customFormat="1" ht="16.5" customHeight="1">
      <c r="A762" s="2">
        <v>55</v>
      </c>
      <c r="B762" s="3">
        <v>41</v>
      </c>
      <c r="C762" s="134">
        <v>702</v>
      </c>
      <c r="D762" s="3" t="s">
        <v>75</v>
      </c>
      <c r="E762" s="3"/>
      <c r="F762" s="4" t="s">
        <v>366</v>
      </c>
      <c r="G762" s="5" t="s">
        <v>367</v>
      </c>
      <c r="H762" s="4" t="s">
        <v>368</v>
      </c>
      <c r="I762" s="3" t="s">
        <v>2600</v>
      </c>
      <c r="J762" s="3" t="s">
        <v>369</v>
      </c>
      <c r="K762" s="6">
        <v>2</v>
      </c>
      <c r="L762" s="6"/>
      <c r="M762" s="6">
        <f t="shared" si="83"/>
        <v>2</v>
      </c>
      <c r="N762" s="8">
        <v>71640</v>
      </c>
      <c r="O762" s="149" t="s">
        <v>2966</v>
      </c>
    </row>
    <row r="763" spans="1:15" s="9" customFormat="1" ht="16.5" customHeight="1">
      <c r="A763" s="2">
        <v>55</v>
      </c>
      <c r="B763" s="3">
        <v>42</v>
      </c>
      <c r="C763" s="3">
        <v>703</v>
      </c>
      <c r="D763" s="3" t="s">
        <v>75</v>
      </c>
      <c r="E763" s="3"/>
      <c r="F763" s="4" t="s">
        <v>370</v>
      </c>
      <c r="G763" s="5" t="s">
        <v>371</v>
      </c>
      <c r="H763" s="4" t="s">
        <v>372</v>
      </c>
      <c r="I763" s="3" t="s">
        <v>2614</v>
      </c>
      <c r="J763" s="3" t="s">
        <v>275</v>
      </c>
      <c r="K763" s="6">
        <v>5</v>
      </c>
      <c r="L763" s="6"/>
      <c r="M763" s="6">
        <f t="shared" si="83"/>
        <v>5</v>
      </c>
      <c r="N763" s="8">
        <v>55440</v>
      </c>
      <c r="O763" s="149" t="s">
        <v>2964</v>
      </c>
    </row>
    <row r="764" spans="1:15" s="9" customFormat="1" ht="16.5" customHeight="1">
      <c r="A764" s="2">
        <v>55</v>
      </c>
      <c r="B764" s="3">
        <v>43</v>
      </c>
      <c r="C764" s="134">
        <v>704</v>
      </c>
      <c r="D764" s="3" t="s">
        <v>75</v>
      </c>
      <c r="E764" s="3"/>
      <c r="F764" s="4" t="s">
        <v>373</v>
      </c>
      <c r="G764" s="5" t="s">
        <v>374</v>
      </c>
      <c r="H764" s="4" t="s">
        <v>375</v>
      </c>
      <c r="I764" s="3" t="s">
        <v>2597</v>
      </c>
      <c r="J764" s="3" t="s">
        <v>369</v>
      </c>
      <c r="K764" s="6">
        <v>2</v>
      </c>
      <c r="L764" s="6"/>
      <c r="M764" s="6">
        <f t="shared" si="83"/>
        <v>2</v>
      </c>
      <c r="N764" s="8">
        <v>76320</v>
      </c>
      <c r="O764" s="149" t="s">
        <v>2967</v>
      </c>
    </row>
    <row r="765" spans="1:15" s="9" customFormat="1" ht="16.5" customHeight="1">
      <c r="A765" s="2">
        <v>55</v>
      </c>
      <c r="B765" s="3">
        <v>44</v>
      </c>
      <c r="C765" s="3">
        <v>705</v>
      </c>
      <c r="D765" s="3" t="s">
        <v>14</v>
      </c>
      <c r="E765" s="3" t="s">
        <v>1754</v>
      </c>
      <c r="F765" s="4" t="s">
        <v>376</v>
      </c>
      <c r="G765" s="5" t="s">
        <v>1755</v>
      </c>
      <c r="H765" s="4" t="s">
        <v>1756</v>
      </c>
      <c r="I765" s="3" t="s">
        <v>2600</v>
      </c>
      <c r="J765" s="3" t="s">
        <v>35</v>
      </c>
      <c r="K765" s="6">
        <v>200</v>
      </c>
      <c r="L765" s="6">
        <v>70</v>
      </c>
      <c r="M765" s="6">
        <f t="shared" si="83"/>
        <v>270</v>
      </c>
      <c r="N765" s="8">
        <v>7050</v>
      </c>
      <c r="O765" s="149"/>
    </row>
    <row r="766" spans="1:15" s="9" customFormat="1" ht="16.5" customHeight="1">
      <c r="A766" s="2">
        <v>55</v>
      </c>
      <c r="B766" s="3">
        <v>45</v>
      </c>
      <c r="C766" s="134">
        <v>706</v>
      </c>
      <c r="D766" s="3" t="s">
        <v>377</v>
      </c>
      <c r="E766" s="3" t="s">
        <v>1754</v>
      </c>
      <c r="F766" s="4" t="s">
        <v>378</v>
      </c>
      <c r="G766" s="5" t="s">
        <v>1753</v>
      </c>
      <c r="H766" s="4" t="s">
        <v>379</v>
      </c>
      <c r="I766" s="3" t="s">
        <v>2615</v>
      </c>
      <c r="J766" s="3" t="s">
        <v>28</v>
      </c>
      <c r="K766" s="6">
        <v>5</v>
      </c>
      <c r="L766" s="6">
        <v>1</v>
      </c>
      <c r="M766" s="6">
        <f t="shared" si="83"/>
        <v>6</v>
      </c>
      <c r="N766" s="8">
        <v>36540</v>
      </c>
      <c r="O766" s="149"/>
    </row>
    <row r="767" spans="1:15" s="9" customFormat="1" ht="16.5" customHeight="1">
      <c r="A767" s="2">
        <v>55</v>
      </c>
      <c r="B767" s="3">
        <v>46</v>
      </c>
      <c r="C767" s="3">
        <v>707</v>
      </c>
      <c r="D767" s="3" t="s">
        <v>377</v>
      </c>
      <c r="E767" s="3" t="s">
        <v>1754</v>
      </c>
      <c r="F767" s="4" t="s">
        <v>380</v>
      </c>
      <c r="G767" s="5" t="s">
        <v>1757</v>
      </c>
      <c r="H767" s="4" t="s">
        <v>381</v>
      </c>
      <c r="I767" s="3" t="s">
        <v>2602</v>
      </c>
      <c r="J767" s="3" t="s">
        <v>28</v>
      </c>
      <c r="K767" s="6">
        <v>5</v>
      </c>
      <c r="L767" s="6">
        <v>1</v>
      </c>
      <c r="M767" s="6">
        <f t="shared" si="83"/>
        <v>6</v>
      </c>
      <c r="N767" s="8">
        <v>45210</v>
      </c>
      <c r="O767" s="149"/>
    </row>
    <row r="768" spans="1:15" s="9" customFormat="1" ht="16.5" customHeight="1">
      <c r="A768" s="2">
        <v>55</v>
      </c>
      <c r="B768" s="3">
        <v>47</v>
      </c>
      <c r="C768" s="134">
        <v>708</v>
      </c>
      <c r="D768" s="3" t="s">
        <v>377</v>
      </c>
      <c r="E768" s="3" t="s">
        <v>1754</v>
      </c>
      <c r="F768" s="4" t="s">
        <v>382</v>
      </c>
      <c r="G768" s="5" t="s">
        <v>1758</v>
      </c>
      <c r="H768" s="4" t="s">
        <v>383</v>
      </c>
      <c r="I768" s="3" t="s">
        <v>2601</v>
      </c>
      <c r="J768" s="3" t="s">
        <v>28</v>
      </c>
      <c r="K768" s="6">
        <v>5</v>
      </c>
      <c r="L768" s="6">
        <v>1</v>
      </c>
      <c r="M768" s="6">
        <f t="shared" si="83"/>
        <v>6</v>
      </c>
      <c r="N768" s="8">
        <v>55960</v>
      </c>
      <c r="O768" s="149"/>
    </row>
    <row r="769" spans="1:15" s="9" customFormat="1" ht="16.5" customHeight="1">
      <c r="A769" s="2">
        <v>55</v>
      </c>
      <c r="B769" s="3">
        <v>48</v>
      </c>
      <c r="C769" s="3">
        <v>709</v>
      </c>
      <c r="D769" s="3" t="s">
        <v>377</v>
      </c>
      <c r="E769" s="3"/>
      <c r="F769" s="4" t="s">
        <v>384</v>
      </c>
      <c r="G769" s="5" t="s">
        <v>385</v>
      </c>
      <c r="H769" s="4" t="s">
        <v>379</v>
      </c>
      <c r="I769" s="3" t="s">
        <v>2601</v>
      </c>
      <c r="J769" s="3" t="s">
        <v>28</v>
      </c>
      <c r="K769" s="6">
        <v>5</v>
      </c>
      <c r="L769" s="6"/>
      <c r="M769" s="6">
        <f t="shared" si="83"/>
        <v>5</v>
      </c>
      <c r="N769" s="8">
        <v>36540</v>
      </c>
      <c r="O769" s="149"/>
    </row>
    <row r="770" spans="1:15" s="9" customFormat="1" ht="16.5" customHeight="1">
      <c r="A770" s="2">
        <v>55</v>
      </c>
      <c r="B770" s="3">
        <v>49</v>
      </c>
      <c r="C770" s="134">
        <v>710</v>
      </c>
      <c r="D770" s="3" t="s">
        <v>377</v>
      </c>
      <c r="E770" s="3"/>
      <c r="F770" s="4" t="s">
        <v>386</v>
      </c>
      <c r="G770" s="5" t="s">
        <v>385</v>
      </c>
      <c r="H770" s="4" t="s">
        <v>381</v>
      </c>
      <c r="I770" s="3" t="s">
        <v>2615</v>
      </c>
      <c r="J770" s="3" t="s">
        <v>28</v>
      </c>
      <c r="K770" s="6">
        <v>5</v>
      </c>
      <c r="L770" s="6"/>
      <c r="M770" s="6">
        <f t="shared" si="83"/>
        <v>5</v>
      </c>
      <c r="N770" s="8">
        <v>45210</v>
      </c>
      <c r="O770" s="149"/>
    </row>
    <row r="771" spans="1:15" s="9" customFormat="1" ht="16.5" customHeight="1">
      <c r="A771" s="2">
        <v>55</v>
      </c>
      <c r="B771" s="3">
        <v>50</v>
      </c>
      <c r="C771" s="3">
        <v>711</v>
      </c>
      <c r="D771" s="3" t="s">
        <v>377</v>
      </c>
      <c r="E771" s="3"/>
      <c r="F771" s="4" t="s">
        <v>387</v>
      </c>
      <c r="G771" s="5" t="s">
        <v>385</v>
      </c>
      <c r="H771" s="4" t="s">
        <v>383</v>
      </c>
      <c r="I771" s="3" t="s">
        <v>2602</v>
      </c>
      <c r="J771" s="3" t="s">
        <v>28</v>
      </c>
      <c r="K771" s="6">
        <v>5</v>
      </c>
      <c r="L771" s="6"/>
      <c r="M771" s="6">
        <f t="shared" si="83"/>
        <v>5</v>
      </c>
      <c r="N771" s="8">
        <v>55960</v>
      </c>
      <c r="O771" s="149"/>
    </row>
    <row r="772" spans="1:15" s="9" customFormat="1" ht="16.5" customHeight="1">
      <c r="A772" s="160">
        <v>55</v>
      </c>
      <c r="B772" s="161">
        <v>51</v>
      </c>
      <c r="C772" s="134">
        <v>712</v>
      </c>
      <c r="D772" s="161" t="s">
        <v>377</v>
      </c>
      <c r="E772" s="161"/>
      <c r="F772" s="162" t="s">
        <v>388</v>
      </c>
      <c r="G772" s="164" t="s">
        <v>389</v>
      </c>
      <c r="H772" s="162" t="s">
        <v>175</v>
      </c>
      <c r="I772" s="161" t="s">
        <v>2601</v>
      </c>
      <c r="J772" s="161" t="s">
        <v>28</v>
      </c>
      <c r="K772" s="6">
        <v>5</v>
      </c>
      <c r="L772" s="6"/>
      <c r="M772" s="6">
        <f t="shared" si="83"/>
        <v>5</v>
      </c>
      <c r="N772" s="8">
        <v>50590</v>
      </c>
      <c r="O772" s="149"/>
    </row>
    <row r="773" spans="1:15" s="9" customFormat="1" ht="16.5" customHeight="1">
      <c r="A773" s="14"/>
      <c r="B773" s="14"/>
      <c r="C773" s="14"/>
      <c r="D773" s="14"/>
      <c r="E773" s="14"/>
      <c r="F773" s="15"/>
      <c r="G773" s="16"/>
      <c r="H773" s="15"/>
      <c r="I773" s="15"/>
      <c r="J773" s="14"/>
      <c r="K773" s="159">
        <f>SUM(K722:K772)</f>
        <v>1126</v>
      </c>
      <c r="L773" s="157">
        <f t="shared" ref="L773:M773" si="84">SUM(L722:L772)</f>
        <v>833</v>
      </c>
      <c r="M773" s="157">
        <f t="shared" si="84"/>
        <v>1959</v>
      </c>
      <c r="N773" s="17"/>
      <c r="O773" s="145"/>
    </row>
    <row r="774" spans="1:15" ht="16.5" customHeight="1">
      <c r="A774" s="133">
        <v>56</v>
      </c>
      <c r="B774" s="134">
        <v>1</v>
      </c>
      <c r="C774" s="134">
        <v>713</v>
      </c>
      <c r="D774" s="134"/>
      <c r="E774" s="134" t="s">
        <v>488</v>
      </c>
      <c r="F774" s="137" t="s">
        <v>2354</v>
      </c>
      <c r="G774" s="138" t="s">
        <v>2355</v>
      </c>
      <c r="H774" s="137" t="s">
        <v>2356</v>
      </c>
      <c r="I774" s="137" t="s">
        <v>806</v>
      </c>
      <c r="J774" s="137" t="s">
        <v>85</v>
      </c>
      <c r="K774" s="6"/>
      <c r="L774" s="6">
        <v>30</v>
      </c>
      <c r="M774" s="6">
        <f t="shared" ref="M774:M812" si="85">K774+L774</f>
        <v>30</v>
      </c>
      <c r="N774" s="8">
        <v>3290</v>
      </c>
      <c r="O774" s="144"/>
    </row>
    <row r="775" spans="1:15" ht="16.5" customHeight="1">
      <c r="A775" s="2">
        <v>56</v>
      </c>
      <c r="B775" s="3">
        <v>2</v>
      </c>
      <c r="C775" s="3">
        <v>714</v>
      </c>
      <c r="D775" s="3"/>
      <c r="E775" s="3" t="s">
        <v>488</v>
      </c>
      <c r="F775" s="4"/>
      <c r="G775" s="18" t="s">
        <v>2357</v>
      </c>
      <c r="H775" s="4" t="s">
        <v>84</v>
      </c>
      <c r="I775" s="4" t="s">
        <v>2358</v>
      </c>
      <c r="J775" s="4" t="s">
        <v>85</v>
      </c>
      <c r="K775" s="6"/>
      <c r="L775" s="6">
        <v>3750</v>
      </c>
      <c r="M775" s="6">
        <f t="shared" si="85"/>
        <v>3750</v>
      </c>
      <c r="N775" s="8" t="s">
        <v>1700</v>
      </c>
      <c r="O775" s="144"/>
    </row>
    <row r="776" spans="1:15" ht="16.5" customHeight="1">
      <c r="A776" s="2">
        <v>56</v>
      </c>
      <c r="B776" s="3">
        <v>3</v>
      </c>
      <c r="C776" s="134">
        <v>715</v>
      </c>
      <c r="D776" s="3"/>
      <c r="E776" s="3" t="s">
        <v>488</v>
      </c>
      <c r="F776" s="4" t="s">
        <v>2359</v>
      </c>
      <c r="G776" s="18" t="s">
        <v>2360</v>
      </c>
      <c r="H776" s="4" t="s">
        <v>84</v>
      </c>
      <c r="I776" s="4" t="s">
        <v>2361</v>
      </c>
      <c r="J776" s="4" t="s">
        <v>85</v>
      </c>
      <c r="K776" s="6"/>
      <c r="L776" s="6">
        <v>5000</v>
      </c>
      <c r="M776" s="6">
        <f t="shared" si="85"/>
        <v>5000</v>
      </c>
      <c r="N776" s="8">
        <v>3090</v>
      </c>
      <c r="O776" s="144"/>
    </row>
    <row r="777" spans="1:15" ht="16.5" customHeight="1">
      <c r="A777" s="2">
        <v>56</v>
      </c>
      <c r="B777" s="3">
        <v>4</v>
      </c>
      <c r="C777" s="3">
        <v>716</v>
      </c>
      <c r="D777" s="3"/>
      <c r="E777" s="3" t="s">
        <v>488</v>
      </c>
      <c r="F777" s="4"/>
      <c r="G777" s="18" t="s">
        <v>2362</v>
      </c>
      <c r="H777" s="4" t="s">
        <v>84</v>
      </c>
      <c r="I777" s="4" t="s">
        <v>2363</v>
      </c>
      <c r="J777" s="4" t="s">
        <v>85</v>
      </c>
      <c r="K777" s="6"/>
      <c r="L777" s="6">
        <v>5</v>
      </c>
      <c r="M777" s="6">
        <f t="shared" si="85"/>
        <v>5</v>
      </c>
      <c r="N777" s="8" t="s">
        <v>1700</v>
      </c>
      <c r="O777" s="144"/>
    </row>
    <row r="778" spans="1:15" ht="16.5" customHeight="1">
      <c r="A778" s="2">
        <v>56</v>
      </c>
      <c r="B778" s="3">
        <v>5</v>
      </c>
      <c r="C778" s="134">
        <v>717</v>
      </c>
      <c r="D778" s="3"/>
      <c r="E778" s="3" t="s">
        <v>488</v>
      </c>
      <c r="F778" s="4" t="s">
        <v>1233</v>
      </c>
      <c r="G778" s="18" t="s">
        <v>2364</v>
      </c>
      <c r="H778" s="4" t="s">
        <v>2365</v>
      </c>
      <c r="I778" s="4" t="s">
        <v>806</v>
      </c>
      <c r="J778" s="4" t="s">
        <v>85</v>
      </c>
      <c r="K778" s="6"/>
      <c r="L778" s="6">
        <v>150</v>
      </c>
      <c r="M778" s="6">
        <f t="shared" si="85"/>
        <v>150</v>
      </c>
      <c r="N778" s="8">
        <v>3710</v>
      </c>
      <c r="O778" s="144"/>
    </row>
    <row r="779" spans="1:15" ht="16.5" customHeight="1">
      <c r="A779" s="2">
        <v>56</v>
      </c>
      <c r="B779" s="3">
        <v>6</v>
      </c>
      <c r="C779" s="3">
        <v>718</v>
      </c>
      <c r="D779" s="3"/>
      <c r="E779" s="3" t="s">
        <v>488</v>
      </c>
      <c r="F779" s="4" t="s">
        <v>2366</v>
      </c>
      <c r="G779" s="18" t="s">
        <v>2367</v>
      </c>
      <c r="H779" s="4" t="s">
        <v>84</v>
      </c>
      <c r="I779" s="4" t="s">
        <v>2358</v>
      </c>
      <c r="J779" s="4" t="s">
        <v>85</v>
      </c>
      <c r="K779" s="6"/>
      <c r="L779" s="6">
        <v>500</v>
      </c>
      <c r="M779" s="6">
        <f t="shared" si="85"/>
        <v>500</v>
      </c>
      <c r="N779" s="8">
        <v>7830</v>
      </c>
      <c r="O779" s="144"/>
    </row>
    <row r="780" spans="1:15" ht="16.5" customHeight="1">
      <c r="A780" s="2">
        <v>56</v>
      </c>
      <c r="B780" s="3">
        <v>7</v>
      </c>
      <c r="C780" s="134">
        <v>719</v>
      </c>
      <c r="D780" s="3"/>
      <c r="E780" s="3" t="s">
        <v>488</v>
      </c>
      <c r="F780" s="4"/>
      <c r="G780" s="18" t="s">
        <v>2368</v>
      </c>
      <c r="H780" s="4" t="s">
        <v>84</v>
      </c>
      <c r="I780" s="4" t="s">
        <v>2358</v>
      </c>
      <c r="J780" s="4" t="s">
        <v>206</v>
      </c>
      <c r="K780" s="6"/>
      <c r="L780" s="6">
        <v>300</v>
      </c>
      <c r="M780" s="6">
        <f t="shared" si="85"/>
        <v>300</v>
      </c>
      <c r="N780" s="8" t="s">
        <v>1700</v>
      </c>
      <c r="O780" s="144"/>
    </row>
    <row r="781" spans="1:15" ht="16.5" customHeight="1">
      <c r="A781" s="2">
        <v>56</v>
      </c>
      <c r="B781" s="3">
        <v>8</v>
      </c>
      <c r="C781" s="3">
        <v>720</v>
      </c>
      <c r="D781" s="3"/>
      <c r="E781" s="3" t="s">
        <v>488</v>
      </c>
      <c r="F781" s="4"/>
      <c r="G781" s="18" t="s">
        <v>2369</v>
      </c>
      <c r="H781" s="4" t="s">
        <v>637</v>
      </c>
      <c r="I781" s="4" t="s">
        <v>2358</v>
      </c>
      <c r="J781" s="4" t="s">
        <v>85</v>
      </c>
      <c r="K781" s="6"/>
      <c r="L781" s="6">
        <v>600</v>
      </c>
      <c r="M781" s="6">
        <f t="shared" si="85"/>
        <v>600</v>
      </c>
      <c r="N781" s="8" t="s">
        <v>1700</v>
      </c>
      <c r="O781" s="144"/>
    </row>
    <row r="782" spans="1:15" ht="16.5" customHeight="1">
      <c r="A782" s="2">
        <v>56</v>
      </c>
      <c r="B782" s="3">
        <v>9</v>
      </c>
      <c r="C782" s="134">
        <v>721</v>
      </c>
      <c r="D782" s="3"/>
      <c r="E782" s="3" t="s">
        <v>488</v>
      </c>
      <c r="F782" s="4" t="s">
        <v>2370</v>
      </c>
      <c r="G782" s="18" t="s">
        <v>2371</v>
      </c>
      <c r="H782" s="4" t="s">
        <v>84</v>
      </c>
      <c r="I782" s="4" t="s">
        <v>2358</v>
      </c>
      <c r="J782" s="4" t="s">
        <v>85</v>
      </c>
      <c r="K782" s="6"/>
      <c r="L782" s="6">
        <v>30</v>
      </c>
      <c r="M782" s="6">
        <f t="shared" si="85"/>
        <v>30</v>
      </c>
      <c r="N782" s="8">
        <v>58210</v>
      </c>
      <c r="O782" s="144"/>
    </row>
    <row r="783" spans="1:15" ht="16.5" customHeight="1">
      <c r="A783" s="2">
        <v>56</v>
      </c>
      <c r="B783" s="3">
        <v>10</v>
      </c>
      <c r="C783" s="3">
        <v>722</v>
      </c>
      <c r="D783" s="3"/>
      <c r="E783" s="3" t="s">
        <v>488</v>
      </c>
      <c r="F783" s="4" t="s">
        <v>2372</v>
      </c>
      <c r="G783" s="18" t="s">
        <v>2373</v>
      </c>
      <c r="H783" s="4" t="s">
        <v>84</v>
      </c>
      <c r="I783" s="4" t="s">
        <v>2358</v>
      </c>
      <c r="J783" s="4" t="s">
        <v>85</v>
      </c>
      <c r="K783" s="6"/>
      <c r="L783" s="6">
        <v>16000</v>
      </c>
      <c r="M783" s="6">
        <f t="shared" si="85"/>
        <v>16000</v>
      </c>
      <c r="N783" s="8">
        <v>565</v>
      </c>
      <c r="O783" s="144"/>
    </row>
    <row r="784" spans="1:15" ht="16.5" customHeight="1">
      <c r="A784" s="2">
        <v>56</v>
      </c>
      <c r="B784" s="3">
        <v>11</v>
      </c>
      <c r="C784" s="134">
        <v>723</v>
      </c>
      <c r="D784" s="3"/>
      <c r="E784" s="3" t="s">
        <v>2231</v>
      </c>
      <c r="F784" s="4" t="s">
        <v>2374</v>
      </c>
      <c r="G784" s="18" t="s">
        <v>2375</v>
      </c>
      <c r="H784" s="4" t="s">
        <v>84</v>
      </c>
      <c r="I784" s="4" t="s">
        <v>2358</v>
      </c>
      <c r="J784" s="4" t="s">
        <v>85</v>
      </c>
      <c r="K784" s="6"/>
      <c r="L784" s="6">
        <v>10</v>
      </c>
      <c r="M784" s="6">
        <f t="shared" si="85"/>
        <v>10</v>
      </c>
      <c r="N784" s="8">
        <v>16060</v>
      </c>
      <c r="O784" s="144"/>
    </row>
    <row r="785" spans="1:15" ht="16.5" customHeight="1">
      <c r="A785" s="2">
        <v>56</v>
      </c>
      <c r="B785" s="3">
        <v>12</v>
      </c>
      <c r="C785" s="3">
        <v>724</v>
      </c>
      <c r="D785" s="3"/>
      <c r="E785" s="3" t="s">
        <v>2376</v>
      </c>
      <c r="F785" s="4" t="s">
        <v>2377</v>
      </c>
      <c r="G785" s="18" t="s">
        <v>2378</v>
      </c>
      <c r="H785" s="4" t="s">
        <v>84</v>
      </c>
      <c r="I785" s="4" t="s">
        <v>2358</v>
      </c>
      <c r="J785" s="4" t="s">
        <v>85</v>
      </c>
      <c r="K785" s="6"/>
      <c r="L785" s="6">
        <v>450</v>
      </c>
      <c r="M785" s="6">
        <f t="shared" si="85"/>
        <v>450</v>
      </c>
      <c r="N785" s="8">
        <v>71290</v>
      </c>
      <c r="O785" s="144"/>
    </row>
    <row r="786" spans="1:15" ht="16.5" customHeight="1">
      <c r="A786" s="2">
        <v>56</v>
      </c>
      <c r="B786" s="3">
        <v>13</v>
      </c>
      <c r="C786" s="134">
        <v>725</v>
      </c>
      <c r="D786" s="3"/>
      <c r="E786" s="3" t="s">
        <v>2072</v>
      </c>
      <c r="F786" s="4"/>
      <c r="G786" s="18" t="s">
        <v>2379</v>
      </c>
      <c r="H786" s="4" t="s">
        <v>84</v>
      </c>
      <c r="I786" s="4" t="s">
        <v>2358</v>
      </c>
      <c r="J786" s="4" t="s">
        <v>85</v>
      </c>
      <c r="K786" s="6"/>
      <c r="L786" s="6">
        <v>350</v>
      </c>
      <c r="M786" s="6">
        <f t="shared" si="85"/>
        <v>350</v>
      </c>
      <c r="N786" s="8" t="s">
        <v>1700</v>
      </c>
      <c r="O786" s="144"/>
    </row>
    <row r="787" spans="1:15" ht="16.5" customHeight="1">
      <c r="A787" s="2">
        <v>56</v>
      </c>
      <c r="B787" s="3">
        <v>14</v>
      </c>
      <c r="C787" s="3">
        <v>726</v>
      </c>
      <c r="D787" s="3"/>
      <c r="E787" s="3" t="s">
        <v>2231</v>
      </c>
      <c r="F787" s="4"/>
      <c r="G787" s="18" t="s">
        <v>2380</v>
      </c>
      <c r="H787" s="4" t="s">
        <v>84</v>
      </c>
      <c r="I787" s="4" t="s">
        <v>2381</v>
      </c>
      <c r="J787" s="4" t="s">
        <v>1682</v>
      </c>
      <c r="K787" s="6"/>
      <c r="L787" s="6">
        <v>60</v>
      </c>
      <c r="M787" s="6">
        <f t="shared" si="85"/>
        <v>60</v>
      </c>
      <c r="N787" s="8" t="s">
        <v>1700</v>
      </c>
      <c r="O787" s="144"/>
    </row>
    <row r="788" spans="1:15" ht="16.5" customHeight="1">
      <c r="A788" s="2">
        <v>56</v>
      </c>
      <c r="B788" s="3">
        <v>15</v>
      </c>
      <c r="C788" s="134">
        <v>727</v>
      </c>
      <c r="D788" s="3"/>
      <c r="E788" s="3" t="s">
        <v>488</v>
      </c>
      <c r="F788" s="4"/>
      <c r="G788" s="18" t="s">
        <v>2382</v>
      </c>
      <c r="H788" s="4" t="s">
        <v>84</v>
      </c>
      <c r="I788" s="4" t="s">
        <v>2383</v>
      </c>
      <c r="J788" s="4" t="s">
        <v>85</v>
      </c>
      <c r="K788" s="6"/>
      <c r="L788" s="6">
        <v>100</v>
      </c>
      <c r="M788" s="6">
        <f t="shared" si="85"/>
        <v>100</v>
      </c>
      <c r="N788" s="8" t="s">
        <v>1700</v>
      </c>
      <c r="O788" s="144"/>
    </row>
    <row r="789" spans="1:15" ht="16.5" customHeight="1">
      <c r="A789" s="2">
        <v>56</v>
      </c>
      <c r="B789" s="3">
        <v>16</v>
      </c>
      <c r="C789" s="3">
        <v>728</v>
      </c>
      <c r="D789" s="3"/>
      <c r="E789" s="3" t="s">
        <v>488</v>
      </c>
      <c r="F789" s="4" t="s">
        <v>2384</v>
      </c>
      <c r="G789" s="18" t="s">
        <v>2385</v>
      </c>
      <c r="H789" s="4" t="s">
        <v>84</v>
      </c>
      <c r="I789" s="4" t="s">
        <v>806</v>
      </c>
      <c r="J789" s="4" t="s">
        <v>85</v>
      </c>
      <c r="K789" s="6"/>
      <c r="L789" s="6">
        <v>400</v>
      </c>
      <c r="M789" s="6">
        <f t="shared" si="85"/>
        <v>400</v>
      </c>
      <c r="N789" s="8">
        <v>7830</v>
      </c>
      <c r="O789" s="144"/>
    </row>
    <row r="790" spans="1:15" ht="16.5" customHeight="1">
      <c r="A790" s="2">
        <v>56</v>
      </c>
      <c r="B790" s="3">
        <v>17</v>
      </c>
      <c r="C790" s="134">
        <v>729</v>
      </c>
      <c r="D790" s="3"/>
      <c r="E790" s="3" t="s">
        <v>488</v>
      </c>
      <c r="F790" s="4"/>
      <c r="G790" s="18" t="s">
        <v>2386</v>
      </c>
      <c r="H790" s="4" t="s">
        <v>84</v>
      </c>
      <c r="I790" s="4" t="s">
        <v>2358</v>
      </c>
      <c r="J790" s="4" t="s">
        <v>85</v>
      </c>
      <c r="K790" s="6"/>
      <c r="L790" s="6">
        <v>1000</v>
      </c>
      <c r="M790" s="6">
        <f t="shared" si="85"/>
        <v>1000</v>
      </c>
      <c r="N790" s="8" t="s">
        <v>1700</v>
      </c>
      <c r="O790" s="144"/>
    </row>
    <row r="791" spans="1:15" ht="16.5" customHeight="1">
      <c r="A791" s="2">
        <v>56</v>
      </c>
      <c r="B791" s="3">
        <v>18</v>
      </c>
      <c r="C791" s="3">
        <v>730</v>
      </c>
      <c r="D791" s="3"/>
      <c r="E791" s="3" t="s">
        <v>2072</v>
      </c>
      <c r="F791" s="4"/>
      <c r="G791" s="18" t="s">
        <v>2387</v>
      </c>
      <c r="H791" s="4" t="s">
        <v>2388</v>
      </c>
      <c r="I791" s="4" t="s">
        <v>2358</v>
      </c>
      <c r="J791" s="4" t="s">
        <v>85</v>
      </c>
      <c r="K791" s="6"/>
      <c r="L791" s="6">
        <v>100</v>
      </c>
      <c r="M791" s="6">
        <f t="shared" si="85"/>
        <v>100</v>
      </c>
      <c r="N791" s="8" t="s">
        <v>1700</v>
      </c>
      <c r="O791" s="144"/>
    </row>
    <row r="792" spans="1:15" ht="16.5" customHeight="1">
      <c r="A792" s="2">
        <v>56</v>
      </c>
      <c r="B792" s="3">
        <v>19</v>
      </c>
      <c r="C792" s="134">
        <v>731</v>
      </c>
      <c r="D792" s="3"/>
      <c r="E792" s="3" t="s">
        <v>2231</v>
      </c>
      <c r="F792" s="4"/>
      <c r="G792" s="18" t="s">
        <v>2389</v>
      </c>
      <c r="H792" s="4" t="s">
        <v>84</v>
      </c>
      <c r="I792" s="4" t="s">
        <v>2390</v>
      </c>
      <c r="J792" s="4" t="s">
        <v>85</v>
      </c>
      <c r="K792" s="6"/>
      <c r="L792" s="6">
        <v>400</v>
      </c>
      <c r="M792" s="6">
        <f t="shared" si="85"/>
        <v>400</v>
      </c>
      <c r="N792" s="8" t="s">
        <v>1700</v>
      </c>
      <c r="O792" s="144"/>
    </row>
    <row r="793" spans="1:15" ht="16.5" customHeight="1">
      <c r="A793" s="2">
        <v>56</v>
      </c>
      <c r="B793" s="3">
        <v>20</v>
      </c>
      <c r="C793" s="3">
        <v>732</v>
      </c>
      <c r="D793" s="3"/>
      <c r="E793" s="3" t="s">
        <v>2231</v>
      </c>
      <c r="F793" s="4" t="s">
        <v>2391</v>
      </c>
      <c r="G793" s="18" t="s">
        <v>2392</v>
      </c>
      <c r="H793" s="4" t="s">
        <v>84</v>
      </c>
      <c r="I793" s="4" t="s">
        <v>2358</v>
      </c>
      <c r="J793" s="4" t="s">
        <v>85</v>
      </c>
      <c r="K793" s="6"/>
      <c r="L793" s="6">
        <v>100</v>
      </c>
      <c r="M793" s="6">
        <f t="shared" si="85"/>
        <v>100</v>
      </c>
      <c r="N793" s="8">
        <v>2170</v>
      </c>
      <c r="O793" s="144"/>
    </row>
    <row r="794" spans="1:15" ht="16.5" customHeight="1">
      <c r="A794" s="2">
        <v>56</v>
      </c>
      <c r="B794" s="3">
        <v>21</v>
      </c>
      <c r="C794" s="134">
        <v>733</v>
      </c>
      <c r="D794" s="3"/>
      <c r="E794" s="3" t="s">
        <v>2231</v>
      </c>
      <c r="F794" s="4"/>
      <c r="G794" s="18" t="s">
        <v>2393</v>
      </c>
      <c r="H794" s="4" t="s">
        <v>84</v>
      </c>
      <c r="I794" s="4" t="s">
        <v>2383</v>
      </c>
      <c r="J794" s="4" t="s">
        <v>1682</v>
      </c>
      <c r="K794" s="6"/>
      <c r="L794" s="6">
        <v>100</v>
      </c>
      <c r="M794" s="6">
        <f t="shared" si="85"/>
        <v>100</v>
      </c>
      <c r="N794" s="8" t="s">
        <v>1700</v>
      </c>
      <c r="O794" s="144"/>
    </row>
    <row r="795" spans="1:15" ht="16.5" customHeight="1">
      <c r="A795" s="2">
        <v>56</v>
      </c>
      <c r="B795" s="3">
        <v>22</v>
      </c>
      <c r="C795" s="3">
        <v>734</v>
      </c>
      <c r="D795" s="3"/>
      <c r="E795" s="3" t="s">
        <v>2231</v>
      </c>
      <c r="F795" s="4" t="s">
        <v>2394</v>
      </c>
      <c r="G795" s="18" t="s">
        <v>2395</v>
      </c>
      <c r="H795" s="4" t="s">
        <v>2396</v>
      </c>
      <c r="I795" s="4" t="s">
        <v>2397</v>
      </c>
      <c r="J795" s="4" t="s">
        <v>85</v>
      </c>
      <c r="K795" s="6"/>
      <c r="L795" s="6">
        <v>30</v>
      </c>
      <c r="M795" s="6">
        <f t="shared" si="85"/>
        <v>30</v>
      </c>
      <c r="N795" s="8">
        <v>15110</v>
      </c>
      <c r="O795" s="144"/>
    </row>
    <row r="796" spans="1:15" ht="16.5" customHeight="1">
      <c r="A796" s="2">
        <v>56</v>
      </c>
      <c r="B796" s="3">
        <v>23</v>
      </c>
      <c r="C796" s="134">
        <v>735</v>
      </c>
      <c r="D796" s="3"/>
      <c r="E796" s="3" t="s">
        <v>2376</v>
      </c>
      <c r="F796" s="4"/>
      <c r="G796" s="18" t="s">
        <v>2398</v>
      </c>
      <c r="H796" s="4" t="s">
        <v>2399</v>
      </c>
      <c r="I796" s="4" t="s">
        <v>1276</v>
      </c>
      <c r="J796" s="4" t="s">
        <v>1682</v>
      </c>
      <c r="K796" s="6"/>
      <c r="L796" s="6">
        <v>60</v>
      </c>
      <c r="M796" s="6">
        <f t="shared" si="85"/>
        <v>60</v>
      </c>
      <c r="N796" s="8" t="s">
        <v>1700</v>
      </c>
      <c r="O796" s="144"/>
    </row>
    <row r="797" spans="1:15" ht="16.5" customHeight="1">
      <c r="A797" s="2">
        <v>56</v>
      </c>
      <c r="B797" s="3">
        <v>24</v>
      </c>
      <c r="C797" s="3">
        <v>736</v>
      </c>
      <c r="D797" s="3"/>
      <c r="E797" s="3" t="s">
        <v>2400</v>
      </c>
      <c r="F797" s="4"/>
      <c r="G797" s="18" t="s">
        <v>2401</v>
      </c>
      <c r="H797" s="4" t="s">
        <v>2399</v>
      </c>
      <c r="I797" s="4" t="s">
        <v>1276</v>
      </c>
      <c r="J797" s="4" t="s">
        <v>1682</v>
      </c>
      <c r="K797" s="6"/>
      <c r="L797" s="6">
        <v>10</v>
      </c>
      <c r="M797" s="6">
        <f t="shared" si="85"/>
        <v>10</v>
      </c>
      <c r="N797" s="8" t="s">
        <v>1700</v>
      </c>
      <c r="O797" s="144"/>
    </row>
    <row r="798" spans="1:15" ht="16.5" customHeight="1">
      <c r="A798" s="2">
        <v>56</v>
      </c>
      <c r="B798" s="3">
        <v>25</v>
      </c>
      <c r="C798" s="134">
        <v>737</v>
      </c>
      <c r="D798" s="3"/>
      <c r="E798" s="3" t="s">
        <v>2231</v>
      </c>
      <c r="F798" s="4" t="s">
        <v>2402</v>
      </c>
      <c r="G798" s="18" t="s">
        <v>2403</v>
      </c>
      <c r="H798" s="4" t="s">
        <v>2404</v>
      </c>
      <c r="I798" s="4" t="s">
        <v>2405</v>
      </c>
      <c r="J798" s="4" t="s">
        <v>85</v>
      </c>
      <c r="K798" s="6"/>
      <c r="L798" s="6">
        <v>2</v>
      </c>
      <c r="M798" s="6">
        <f t="shared" si="85"/>
        <v>2</v>
      </c>
      <c r="N798" s="8">
        <v>61300</v>
      </c>
      <c r="O798" s="144"/>
    </row>
    <row r="799" spans="1:15" ht="16.5" customHeight="1">
      <c r="A799" s="2">
        <v>56</v>
      </c>
      <c r="B799" s="3">
        <v>26</v>
      </c>
      <c r="C799" s="3">
        <v>738</v>
      </c>
      <c r="D799" s="3"/>
      <c r="E799" s="3" t="s">
        <v>2406</v>
      </c>
      <c r="F799" s="4" t="s">
        <v>2407</v>
      </c>
      <c r="G799" s="18" t="s">
        <v>2408</v>
      </c>
      <c r="H799" s="4" t="s">
        <v>84</v>
      </c>
      <c r="I799" s="4" t="s">
        <v>2358</v>
      </c>
      <c r="J799" s="4" t="s">
        <v>85</v>
      </c>
      <c r="K799" s="6"/>
      <c r="L799" s="6">
        <f>40+208</f>
        <v>248</v>
      </c>
      <c r="M799" s="6">
        <f t="shared" si="85"/>
        <v>248</v>
      </c>
      <c r="N799" s="8">
        <v>15690</v>
      </c>
      <c r="O799" s="144"/>
    </row>
    <row r="800" spans="1:15" ht="16.5" customHeight="1">
      <c r="A800" s="2">
        <v>56</v>
      </c>
      <c r="B800" s="3">
        <v>27</v>
      </c>
      <c r="C800" s="134">
        <v>739</v>
      </c>
      <c r="D800" s="3"/>
      <c r="E800" s="3" t="s">
        <v>2376</v>
      </c>
      <c r="F800" s="4"/>
      <c r="G800" s="18" t="s">
        <v>2409</v>
      </c>
      <c r="H800" s="4" t="s">
        <v>2410</v>
      </c>
      <c r="I800" s="4" t="s">
        <v>2381</v>
      </c>
      <c r="J800" s="4" t="s">
        <v>1372</v>
      </c>
      <c r="K800" s="6"/>
      <c r="L800" s="6">
        <v>100</v>
      </c>
      <c r="M800" s="6">
        <f t="shared" si="85"/>
        <v>100</v>
      </c>
      <c r="N800" s="8" t="s">
        <v>1700</v>
      </c>
      <c r="O800" s="144"/>
    </row>
    <row r="801" spans="1:15" ht="16.5" customHeight="1">
      <c r="A801" s="2">
        <v>56</v>
      </c>
      <c r="B801" s="3">
        <v>28</v>
      </c>
      <c r="C801" s="3">
        <v>740</v>
      </c>
      <c r="D801" s="3"/>
      <c r="E801" s="3" t="s">
        <v>2231</v>
      </c>
      <c r="F801" s="4" t="s">
        <v>2411</v>
      </c>
      <c r="G801" s="18" t="s">
        <v>2412</v>
      </c>
      <c r="H801" s="4" t="s">
        <v>84</v>
      </c>
      <c r="I801" s="4" t="s">
        <v>2358</v>
      </c>
      <c r="J801" s="4" t="s">
        <v>85</v>
      </c>
      <c r="K801" s="6"/>
      <c r="L801" s="6">
        <v>200</v>
      </c>
      <c r="M801" s="6">
        <f t="shared" si="85"/>
        <v>200</v>
      </c>
      <c r="N801" s="8">
        <v>710</v>
      </c>
      <c r="O801" s="144"/>
    </row>
    <row r="802" spans="1:15" ht="16.5" customHeight="1">
      <c r="A802" s="2">
        <v>56</v>
      </c>
      <c r="B802" s="3">
        <v>29</v>
      </c>
      <c r="C802" s="134">
        <v>741</v>
      </c>
      <c r="D802" s="3"/>
      <c r="E802" s="3" t="s">
        <v>2400</v>
      </c>
      <c r="F802" s="4"/>
      <c r="G802" s="18" t="s">
        <v>2413</v>
      </c>
      <c r="H802" s="4" t="s">
        <v>84</v>
      </c>
      <c r="I802" s="4" t="s">
        <v>2383</v>
      </c>
      <c r="J802" s="4" t="s">
        <v>85</v>
      </c>
      <c r="K802" s="6"/>
      <c r="L802" s="6">
        <v>50</v>
      </c>
      <c r="M802" s="6">
        <f t="shared" si="85"/>
        <v>50</v>
      </c>
      <c r="N802" s="8" t="s">
        <v>1700</v>
      </c>
      <c r="O802" s="144"/>
    </row>
    <row r="803" spans="1:15" ht="16.5" customHeight="1">
      <c r="A803" s="2">
        <v>56</v>
      </c>
      <c r="B803" s="3">
        <v>30</v>
      </c>
      <c r="C803" s="3">
        <v>742</v>
      </c>
      <c r="D803" s="3"/>
      <c r="E803" s="3" t="s">
        <v>488</v>
      </c>
      <c r="F803" s="4" t="s">
        <v>2414</v>
      </c>
      <c r="G803" s="18" t="s">
        <v>2415</v>
      </c>
      <c r="H803" s="4" t="s">
        <v>84</v>
      </c>
      <c r="I803" s="4" t="s">
        <v>2416</v>
      </c>
      <c r="J803" s="4" t="s">
        <v>85</v>
      </c>
      <c r="K803" s="6"/>
      <c r="L803" s="6">
        <v>30</v>
      </c>
      <c r="M803" s="6">
        <f t="shared" si="85"/>
        <v>30</v>
      </c>
      <c r="N803" s="8">
        <v>61300</v>
      </c>
      <c r="O803" s="144"/>
    </row>
    <row r="804" spans="1:15" ht="16.5" customHeight="1">
      <c r="A804" s="2">
        <v>56</v>
      </c>
      <c r="B804" s="3">
        <v>31</v>
      </c>
      <c r="C804" s="134">
        <v>743</v>
      </c>
      <c r="D804" s="3"/>
      <c r="E804" s="3" t="s">
        <v>488</v>
      </c>
      <c r="F804" s="4" t="s">
        <v>2417</v>
      </c>
      <c r="G804" s="18" t="s">
        <v>2418</v>
      </c>
      <c r="H804" s="4" t="s">
        <v>84</v>
      </c>
      <c r="I804" s="4" t="s">
        <v>2383</v>
      </c>
      <c r="J804" s="4" t="s">
        <v>85</v>
      </c>
      <c r="K804" s="6"/>
      <c r="L804" s="6">
        <v>100</v>
      </c>
      <c r="M804" s="6">
        <f t="shared" si="85"/>
        <v>100</v>
      </c>
      <c r="N804" s="8">
        <v>582</v>
      </c>
      <c r="O804" s="144"/>
    </row>
    <row r="805" spans="1:15" ht="16.5" customHeight="1">
      <c r="A805" s="2">
        <v>56</v>
      </c>
      <c r="B805" s="3">
        <v>32</v>
      </c>
      <c r="C805" s="3">
        <v>744</v>
      </c>
      <c r="D805" s="3"/>
      <c r="E805" s="3" t="s">
        <v>488</v>
      </c>
      <c r="F805" s="4"/>
      <c r="G805" s="18" t="s">
        <v>2419</v>
      </c>
      <c r="H805" s="4" t="s">
        <v>2420</v>
      </c>
      <c r="I805" s="4" t="s">
        <v>2421</v>
      </c>
      <c r="J805" s="4" t="s">
        <v>85</v>
      </c>
      <c r="K805" s="6"/>
      <c r="L805" s="6">
        <v>2</v>
      </c>
      <c r="M805" s="6">
        <f t="shared" si="85"/>
        <v>2</v>
      </c>
      <c r="N805" s="8" t="s">
        <v>1700</v>
      </c>
      <c r="O805" s="144"/>
    </row>
    <row r="806" spans="1:15" ht="16.5" customHeight="1">
      <c r="A806" s="2">
        <v>56</v>
      </c>
      <c r="B806" s="3">
        <v>33</v>
      </c>
      <c r="C806" s="134">
        <v>745</v>
      </c>
      <c r="D806" s="3"/>
      <c r="E806" s="3" t="s">
        <v>488</v>
      </c>
      <c r="F806" s="4"/>
      <c r="G806" s="18" t="s">
        <v>2419</v>
      </c>
      <c r="H806" s="4" t="s">
        <v>2422</v>
      </c>
      <c r="I806" s="4" t="s">
        <v>2421</v>
      </c>
      <c r="J806" s="4" t="s">
        <v>85</v>
      </c>
      <c r="K806" s="6"/>
      <c r="L806" s="6">
        <v>100</v>
      </c>
      <c r="M806" s="6">
        <f t="shared" si="85"/>
        <v>100</v>
      </c>
      <c r="N806" s="8" t="s">
        <v>1700</v>
      </c>
      <c r="O806" s="144"/>
    </row>
    <row r="807" spans="1:15" ht="16.5" customHeight="1">
      <c r="A807" s="2">
        <v>56</v>
      </c>
      <c r="B807" s="3">
        <v>34</v>
      </c>
      <c r="C807" s="3">
        <v>746</v>
      </c>
      <c r="D807" s="3"/>
      <c r="E807" s="3" t="s">
        <v>488</v>
      </c>
      <c r="F807" s="4"/>
      <c r="G807" s="18" t="s">
        <v>2423</v>
      </c>
      <c r="H807" s="4" t="s">
        <v>2424</v>
      </c>
      <c r="I807" s="4" t="s">
        <v>2358</v>
      </c>
      <c r="J807" s="4" t="s">
        <v>85</v>
      </c>
      <c r="K807" s="6"/>
      <c r="L807" s="6">
        <v>600</v>
      </c>
      <c r="M807" s="6">
        <f t="shared" si="85"/>
        <v>600</v>
      </c>
      <c r="N807" s="8" t="s">
        <v>1700</v>
      </c>
      <c r="O807" s="144"/>
    </row>
    <row r="808" spans="1:15" ht="16.5" customHeight="1">
      <c r="A808" s="2">
        <v>56</v>
      </c>
      <c r="B808" s="3">
        <v>35</v>
      </c>
      <c r="C808" s="134">
        <v>747</v>
      </c>
      <c r="D808" s="3"/>
      <c r="E808" s="3" t="s">
        <v>488</v>
      </c>
      <c r="F808" s="4" t="s">
        <v>2425</v>
      </c>
      <c r="G808" s="18" t="s">
        <v>2426</v>
      </c>
      <c r="H808" s="4" t="s">
        <v>84</v>
      </c>
      <c r="I808" s="4" t="s">
        <v>2427</v>
      </c>
      <c r="J808" s="4" t="s">
        <v>85</v>
      </c>
      <c r="K808" s="6"/>
      <c r="L808" s="6">
        <v>30</v>
      </c>
      <c r="M808" s="6">
        <f t="shared" si="85"/>
        <v>30</v>
      </c>
      <c r="N808" s="8">
        <v>19460</v>
      </c>
      <c r="O808" s="144"/>
    </row>
    <row r="809" spans="1:15" ht="16.5" customHeight="1">
      <c r="A809" s="2">
        <v>56</v>
      </c>
      <c r="B809" s="3">
        <v>36</v>
      </c>
      <c r="C809" s="3">
        <v>748</v>
      </c>
      <c r="D809" s="3"/>
      <c r="E809" s="3" t="s">
        <v>488</v>
      </c>
      <c r="F809" s="4"/>
      <c r="G809" s="18" t="s">
        <v>2428</v>
      </c>
      <c r="H809" s="4"/>
      <c r="I809" s="4" t="s">
        <v>2429</v>
      </c>
      <c r="J809" s="4" t="s">
        <v>85</v>
      </c>
      <c r="K809" s="6"/>
      <c r="L809" s="6">
        <v>50</v>
      </c>
      <c r="M809" s="6">
        <f t="shared" si="85"/>
        <v>50</v>
      </c>
      <c r="N809" s="8" t="s">
        <v>1969</v>
      </c>
      <c r="O809" s="144"/>
    </row>
    <row r="810" spans="1:15" ht="16.5" customHeight="1">
      <c r="A810" s="2">
        <v>56</v>
      </c>
      <c r="B810" s="3">
        <v>37</v>
      </c>
      <c r="C810" s="134">
        <v>749</v>
      </c>
      <c r="D810" s="3"/>
      <c r="E810" s="3" t="s">
        <v>488</v>
      </c>
      <c r="F810" s="4" t="s">
        <v>2430</v>
      </c>
      <c r="G810" s="18" t="s">
        <v>2431</v>
      </c>
      <c r="H810" s="4" t="s">
        <v>84</v>
      </c>
      <c r="I810" s="4" t="s">
        <v>2432</v>
      </c>
      <c r="J810" s="4" t="s">
        <v>85</v>
      </c>
      <c r="K810" s="6"/>
      <c r="L810" s="6">
        <v>40</v>
      </c>
      <c r="M810" s="6">
        <f t="shared" si="85"/>
        <v>40</v>
      </c>
      <c r="N810" s="8">
        <v>16690</v>
      </c>
      <c r="O810" s="144"/>
    </row>
    <row r="811" spans="1:15" ht="16.5" customHeight="1">
      <c r="A811" s="2">
        <v>56</v>
      </c>
      <c r="B811" s="3">
        <v>38</v>
      </c>
      <c r="C811" s="3">
        <v>750</v>
      </c>
      <c r="D811" s="3"/>
      <c r="E811" s="3" t="s">
        <v>488</v>
      </c>
      <c r="F811" s="4"/>
      <c r="G811" s="18" t="s">
        <v>2433</v>
      </c>
      <c r="H811" s="4" t="s">
        <v>84</v>
      </c>
      <c r="I811" s="4" t="s">
        <v>2434</v>
      </c>
      <c r="J811" s="4" t="s">
        <v>85</v>
      </c>
      <c r="K811" s="6"/>
      <c r="L811" s="6">
        <v>200</v>
      </c>
      <c r="M811" s="6">
        <f t="shared" si="85"/>
        <v>200</v>
      </c>
      <c r="N811" s="8" t="s">
        <v>1700</v>
      </c>
      <c r="O811" s="144"/>
    </row>
    <row r="812" spans="1:15" ht="16.5" customHeight="1">
      <c r="A812" s="160">
        <v>56</v>
      </c>
      <c r="B812" s="161">
        <v>39</v>
      </c>
      <c r="C812" s="134">
        <v>751</v>
      </c>
      <c r="D812" s="161"/>
      <c r="E812" s="161" t="s">
        <v>488</v>
      </c>
      <c r="F812" s="162" t="s">
        <v>2435</v>
      </c>
      <c r="G812" s="163" t="s">
        <v>2436</v>
      </c>
      <c r="H812" s="162" t="s">
        <v>84</v>
      </c>
      <c r="I812" s="162" t="s">
        <v>2432</v>
      </c>
      <c r="J812" s="162" t="s">
        <v>85</v>
      </c>
      <c r="K812" s="6"/>
      <c r="L812" s="6">
        <v>50</v>
      </c>
      <c r="M812" s="6">
        <f t="shared" si="85"/>
        <v>50</v>
      </c>
      <c r="N812" s="8" t="s">
        <v>1701</v>
      </c>
      <c r="O812" s="144"/>
    </row>
    <row r="813" spans="1:15" ht="17.25" customHeight="1">
      <c r="A813" s="166"/>
      <c r="B813" s="167"/>
      <c r="C813" s="167"/>
      <c r="D813" s="168"/>
      <c r="E813" s="168"/>
      <c r="F813" s="169"/>
      <c r="G813" s="170"/>
      <c r="H813" s="171"/>
      <c r="I813" s="172"/>
      <c r="J813" s="173"/>
      <c r="K813" s="159">
        <f>SUM(K774:K812)</f>
        <v>0</v>
      </c>
      <c r="L813" s="157">
        <f t="shared" ref="L813:M813" si="86">SUM(L774:L812)</f>
        <v>31337</v>
      </c>
      <c r="M813" s="157">
        <f t="shared" si="86"/>
        <v>31337</v>
      </c>
      <c r="N813" s="17"/>
      <c r="O813" s="145"/>
    </row>
    <row r="814" spans="1:15" s="9" customFormat="1" ht="16.5" customHeight="1">
      <c r="A814" s="133">
        <v>57</v>
      </c>
      <c r="B814" s="134">
        <v>1</v>
      </c>
      <c r="C814" s="134">
        <v>752</v>
      </c>
      <c r="D814" s="134"/>
      <c r="E814" s="134" t="s">
        <v>488</v>
      </c>
      <c r="F814" s="137"/>
      <c r="G814" s="165" t="s">
        <v>1785</v>
      </c>
      <c r="H814" s="137" t="s">
        <v>1784</v>
      </c>
      <c r="I814" s="134" t="s">
        <v>2616</v>
      </c>
      <c r="J814" s="134" t="s">
        <v>85</v>
      </c>
      <c r="K814" s="6"/>
      <c r="L814" s="6">
        <v>10</v>
      </c>
      <c r="M814" s="6">
        <f t="shared" ref="M814:M841" si="87">K814+L814</f>
        <v>10</v>
      </c>
      <c r="N814" s="8" t="s">
        <v>1700</v>
      </c>
      <c r="O814" s="149"/>
    </row>
    <row r="815" spans="1:15" s="9" customFormat="1" ht="16.5" customHeight="1">
      <c r="A815" s="2">
        <v>57</v>
      </c>
      <c r="B815" s="3">
        <v>2</v>
      </c>
      <c r="C815" s="3">
        <v>753</v>
      </c>
      <c r="D815" s="3"/>
      <c r="E815" s="3" t="s">
        <v>1854</v>
      </c>
      <c r="F815" s="4"/>
      <c r="G815" s="5" t="s">
        <v>1853</v>
      </c>
      <c r="H815" s="4" t="s">
        <v>1853</v>
      </c>
      <c r="I815" s="3" t="s">
        <v>2617</v>
      </c>
      <c r="J815" s="3" t="s">
        <v>85</v>
      </c>
      <c r="K815" s="6"/>
      <c r="L815" s="6">
        <v>5</v>
      </c>
      <c r="M815" s="6">
        <f t="shared" si="87"/>
        <v>5</v>
      </c>
      <c r="N815" s="8" t="s">
        <v>19</v>
      </c>
      <c r="O815" s="149"/>
    </row>
    <row r="816" spans="1:15" s="9" customFormat="1" ht="16.5" customHeight="1">
      <c r="A816" s="2">
        <v>57</v>
      </c>
      <c r="B816" s="3">
        <v>3</v>
      </c>
      <c r="C816" s="134">
        <v>754</v>
      </c>
      <c r="D816" s="3" t="s">
        <v>467</v>
      </c>
      <c r="E816" s="3"/>
      <c r="F816" s="4"/>
      <c r="G816" s="5" t="s">
        <v>468</v>
      </c>
      <c r="H816" s="4" t="s">
        <v>469</v>
      </c>
      <c r="I816" s="3" t="s">
        <v>2618</v>
      </c>
      <c r="J816" s="3" t="s">
        <v>470</v>
      </c>
      <c r="K816" s="6">
        <f>20+15</f>
        <v>35</v>
      </c>
      <c r="L816" s="6"/>
      <c r="M816" s="6">
        <f t="shared" si="87"/>
        <v>35</v>
      </c>
      <c r="N816" s="8" t="s">
        <v>2934</v>
      </c>
      <c r="O816" s="149"/>
    </row>
    <row r="817" spans="1:15" s="9" customFormat="1" ht="16.5" customHeight="1">
      <c r="A817" s="2">
        <v>57</v>
      </c>
      <c r="B817" s="3">
        <v>4</v>
      </c>
      <c r="C817" s="3">
        <v>755</v>
      </c>
      <c r="D817" s="3" t="s">
        <v>33</v>
      </c>
      <c r="E817" s="3"/>
      <c r="F817" s="4"/>
      <c r="G817" s="5" t="s">
        <v>471</v>
      </c>
      <c r="H817" s="4" t="s">
        <v>84</v>
      </c>
      <c r="I817" s="3" t="s">
        <v>2619</v>
      </c>
      <c r="J817" s="3" t="s">
        <v>472</v>
      </c>
      <c r="K817" s="6">
        <v>100</v>
      </c>
      <c r="L817" s="6"/>
      <c r="M817" s="6">
        <f t="shared" si="87"/>
        <v>100</v>
      </c>
      <c r="N817" s="8" t="s">
        <v>2934</v>
      </c>
      <c r="O817" s="149" t="s">
        <v>473</v>
      </c>
    </row>
    <row r="818" spans="1:15" s="9" customFormat="1" ht="16.5" customHeight="1">
      <c r="A818" s="2">
        <v>57</v>
      </c>
      <c r="B818" s="3">
        <v>5</v>
      </c>
      <c r="C818" s="134">
        <v>756</v>
      </c>
      <c r="D818" s="3" t="s">
        <v>474</v>
      </c>
      <c r="E818" s="3"/>
      <c r="F818" s="4" t="s">
        <v>475</v>
      </c>
      <c r="G818" s="5" t="s">
        <v>476</v>
      </c>
      <c r="H818" s="4" t="s">
        <v>477</v>
      </c>
      <c r="I818" s="3" t="s">
        <v>2620</v>
      </c>
      <c r="J818" s="3" t="s">
        <v>79</v>
      </c>
      <c r="K818" s="6">
        <v>20</v>
      </c>
      <c r="L818" s="6"/>
      <c r="M818" s="6">
        <f t="shared" si="87"/>
        <v>20</v>
      </c>
      <c r="N818" s="8">
        <v>45440</v>
      </c>
      <c r="O818" s="149"/>
    </row>
    <row r="819" spans="1:15" s="9" customFormat="1" ht="16.5" customHeight="1">
      <c r="A819" s="2">
        <v>57</v>
      </c>
      <c r="B819" s="3">
        <v>6</v>
      </c>
      <c r="C819" s="3">
        <v>757</v>
      </c>
      <c r="D819" s="3" t="s">
        <v>474</v>
      </c>
      <c r="E819" s="3"/>
      <c r="F819" s="4" t="s">
        <v>478</v>
      </c>
      <c r="G819" s="5" t="s">
        <v>479</v>
      </c>
      <c r="H819" s="4" t="s">
        <v>480</v>
      </c>
      <c r="I819" s="3" t="s">
        <v>2620</v>
      </c>
      <c r="J819" s="3" t="s">
        <v>79</v>
      </c>
      <c r="K819" s="6">
        <v>40</v>
      </c>
      <c r="L819" s="6"/>
      <c r="M819" s="6">
        <f t="shared" si="87"/>
        <v>40</v>
      </c>
      <c r="N819" s="8">
        <v>45440</v>
      </c>
      <c r="O819" s="149"/>
    </row>
    <row r="820" spans="1:15" s="9" customFormat="1" ht="16.5" customHeight="1">
      <c r="A820" s="2">
        <v>57</v>
      </c>
      <c r="B820" s="3">
        <v>7</v>
      </c>
      <c r="C820" s="134">
        <v>758</v>
      </c>
      <c r="D820" s="3" t="s">
        <v>474</v>
      </c>
      <c r="E820" s="3"/>
      <c r="F820" s="4" t="s">
        <v>481</v>
      </c>
      <c r="G820" s="5" t="s">
        <v>482</v>
      </c>
      <c r="H820" s="4" t="s">
        <v>483</v>
      </c>
      <c r="I820" s="3" t="s">
        <v>2621</v>
      </c>
      <c r="J820" s="3" t="s">
        <v>79</v>
      </c>
      <c r="K820" s="6">
        <v>5</v>
      </c>
      <c r="L820" s="6"/>
      <c r="M820" s="6">
        <f t="shared" si="87"/>
        <v>5</v>
      </c>
      <c r="N820" s="8">
        <v>137870</v>
      </c>
      <c r="O820" s="149"/>
    </row>
    <row r="821" spans="1:15" s="9" customFormat="1" ht="16.5" customHeight="1">
      <c r="A821" s="2">
        <v>57</v>
      </c>
      <c r="B821" s="3">
        <v>8</v>
      </c>
      <c r="C821" s="3">
        <v>759</v>
      </c>
      <c r="D821" s="3" t="s">
        <v>474</v>
      </c>
      <c r="E821" s="3"/>
      <c r="F821" s="4" t="s">
        <v>485</v>
      </c>
      <c r="G821" s="5" t="s">
        <v>486</v>
      </c>
      <c r="H821" s="4" t="s">
        <v>487</v>
      </c>
      <c r="I821" s="3" t="s">
        <v>2621</v>
      </c>
      <c r="J821" s="3" t="s">
        <v>79</v>
      </c>
      <c r="K821" s="6">
        <v>5</v>
      </c>
      <c r="L821" s="6"/>
      <c r="M821" s="6">
        <f t="shared" si="87"/>
        <v>5</v>
      </c>
      <c r="N821" s="8">
        <v>145380</v>
      </c>
      <c r="O821" s="149"/>
    </row>
    <row r="822" spans="1:15" s="9" customFormat="1" ht="16.5" customHeight="1">
      <c r="A822" s="2">
        <v>57</v>
      </c>
      <c r="B822" s="3">
        <v>9</v>
      </c>
      <c r="C822" s="134">
        <v>760</v>
      </c>
      <c r="D822" s="3" t="s">
        <v>488</v>
      </c>
      <c r="E822" s="3"/>
      <c r="F822" s="4" t="s">
        <v>489</v>
      </c>
      <c r="G822" s="5" t="s">
        <v>490</v>
      </c>
      <c r="H822" s="4" t="s">
        <v>491</v>
      </c>
      <c r="I822" s="3" t="s">
        <v>2622</v>
      </c>
      <c r="J822" s="3" t="s">
        <v>13</v>
      </c>
      <c r="K822" s="6">
        <v>20</v>
      </c>
      <c r="L822" s="6"/>
      <c r="M822" s="6">
        <f t="shared" si="87"/>
        <v>20</v>
      </c>
      <c r="N822" s="8">
        <v>1300</v>
      </c>
      <c r="O822" s="149"/>
    </row>
    <row r="823" spans="1:15" s="9" customFormat="1" ht="16.5" customHeight="1">
      <c r="A823" s="2">
        <v>57</v>
      </c>
      <c r="B823" s="3">
        <v>10</v>
      </c>
      <c r="C823" s="3">
        <v>761</v>
      </c>
      <c r="D823" s="3" t="s">
        <v>474</v>
      </c>
      <c r="E823" s="3"/>
      <c r="F823" s="4" t="s">
        <v>492</v>
      </c>
      <c r="G823" s="5" t="s">
        <v>493</v>
      </c>
      <c r="H823" s="4" t="s">
        <v>494</v>
      </c>
      <c r="I823" s="3" t="s">
        <v>2621</v>
      </c>
      <c r="J823" s="3" t="s">
        <v>495</v>
      </c>
      <c r="K823" s="6">
        <v>2</v>
      </c>
      <c r="L823" s="6"/>
      <c r="M823" s="6">
        <f t="shared" si="87"/>
        <v>2</v>
      </c>
      <c r="N823" s="8">
        <v>68040</v>
      </c>
      <c r="O823" s="149" t="s">
        <v>2970</v>
      </c>
    </row>
    <row r="824" spans="1:15" s="9" customFormat="1" ht="16.5" customHeight="1">
      <c r="A824" s="2">
        <v>57</v>
      </c>
      <c r="B824" s="3">
        <v>11</v>
      </c>
      <c r="C824" s="134">
        <v>762</v>
      </c>
      <c r="D824" s="3" t="s">
        <v>474</v>
      </c>
      <c r="E824" s="3"/>
      <c r="F824" s="4" t="s">
        <v>496</v>
      </c>
      <c r="G824" s="5" t="s">
        <v>497</v>
      </c>
      <c r="H824" s="4" t="s">
        <v>498</v>
      </c>
      <c r="I824" s="3" t="s">
        <v>2621</v>
      </c>
      <c r="J824" s="3" t="s">
        <v>499</v>
      </c>
      <c r="K824" s="6">
        <v>3</v>
      </c>
      <c r="L824" s="6"/>
      <c r="M824" s="6">
        <f t="shared" si="87"/>
        <v>3</v>
      </c>
      <c r="N824" s="8">
        <v>90720</v>
      </c>
      <c r="O824" s="149" t="s">
        <v>2971</v>
      </c>
    </row>
    <row r="825" spans="1:15" s="9" customFormat="1" ht="16.5" customHeight="1">
      <c r="A825" s="2">
        <v>57</v>
      </c>
      <c r="B825" s="3">
        <v>12</v>
      </c>
      <c r="C825" s="3">
        <v>763</v>
      </c>
      <c r="D825" s="3"/>
      <c r="E825" s="3" t="s">
        <v>75</v>
      </c>
      <c r="F825" s="4" t="s">
        <v>1782</v>
      </c>
      <c r="G825" s="5" t="s">
        <v>1781</v>
      </c>
      <c r="H825" s="4" t="s">
        <v>498</v>
      </c>
      <c r="I825" s="3" t="s">
        <v>2623</v>
      </c>
      <c r="J825" s="3" t="s">
        <v>28</v>
      </c>
      <c r="K825" s="6"/>
      <c r="L825" s="6">
        <v>48</v>
      </c>
      <c r="M825" s="6">
        <f t="shared" si="87"/>
        <v>48</v>
      </c>
      <c r="N825" s="8">
        <v>1890</v>
      </c>
      <c r="O825" s="149"/>
    </row>
    <row r="826" spans="1:15" s="9" customFormat="1" ht="16.5" customHeight="1">
      <c r="A826" s="2">
        <v>57</v>
      </c>
      <c r="B826" s="3">
        <v>13</v>
      </c>
      <c r="C826" s="134">
        <v>764</v>
      </c>
      <c r="D826" s="3" t="s">
        <v>474</v>
      </c>
      <c r="E826" s="3"/>
      <c r="F826" s="4" t="s">
        <v>500</v>
      </c>
      <c r="G826" s="5" t="s">
        <v>501</v>
      </c>
      <c r="H826" s="4" t="s">
        <v>502</v>
      </c>
      <c r="I826" s="3" t="s">
        <v>2621</v>
      </c>
      <c r="J826" s="3" t="s">
        <v>503</v>
      </c>
      <c r="K826" s="6">
        <v>2</v>
      </c>
      <c r="L826" s="6"/>
      <c r="M826" s="6">
        <f t="shared" si="87"/>
        <v>2</v>
      </c>
      <c r="N826" s="8">
        <v>45480</v>
      </c>
      <c r="O826" s="149" t="s">
        <v>2953</v>
      </c>
    </row>
    <row r="827" spans="1:15" s="9" customFormat="1" ht="16.5" customHeight="1">
      <c r="A827" s="2">
        <v>57</v>
      </c>
      <c r="B827" s="3">
        <v>14</v>
      </c>
      <c r="C827" s="3">
        <v>765</v>
      </c>
      <c r="D827" s="3"/>
      <c r="E827" s="3" t="s">
        <v>1794</v>
      </c>
      <c r="F827" s="4" t="s">
        <v>1793</v>
      </c>
      <c r="G827" s="5" t="s">
        <v>1792</v>
      </c>
      <c r="H827" s="4" t="s">
        <v>502</v>
      </c>
      <c r="I827" s="3" t="s">
        <v>2623</v>
      </c>
      <c r="J827" s="3" t="s">
        <v>85</v>
      </c>
      <c r="K827" s="6"/>
      <c r="L827" s="6">
        <v>12</v>
      </c>
      <c r="M827" s="6">
        <f t="shared" si="87"/>
        <v>12</v>
      </c>
      <c r="N827" s="8">
        <v>3790</v>
      </c>
      <c r="O827" s="149"/>
    </row>
    <row r="828" spans="1:15" s="9" customFormat="1" ht="16.5" customHeight="1">
      <c r="A828" s="2">
        <v>57</v>
      </c>
      <c r="B828" s="3">
        <v>15</v>
      </c>
      <c r="C828" s="134">
        <v>766</v>
      </c>
      <c r="D828" s="3" t="s">
        <v>474</v>
      </c>
      <c r="E828" s="3"/>
      <c r="F828" s="4" t="s">
        <v>504</v>
      </c>
      <c r="G828" s="5" t="s">
        <v>505</v>
      </c>
      <c r="H828" s="4" t="s">
        <v>506</v>
      </c>
      <c r="I828" s="3" t="s">
        <v>2621</v>
      </c>
      <c r="J828" s="3" t="s">
        <v>507</v>
      </c>
      <c r="K828" s="6">
        <v>2</v>
      </c>
      <c r="L828" s="6"/>
      <c r="M828" s="6">
        <f t="shared" si="87"/>
        <v>2</v>
      </c>
      <c r="N828" s="8">
        <v>90720</v>
      </c>
      <c r="O828" s="149" t="s">
        <v>2971</v>
      </c>
    </row>
    <row r="829" spans="1:15" s="9" customFormat="1" ht="16.5" customHeight="1">
      <c r="A829" s="2">
        <v>57</v>
      </c>
      <c r="B829" s="3">
        <v>16</v>
      </c>
      <c r="C829" s="3">
        <v>767</v>
      </c>
      <c r="D829" s="3"/>
      <c r="E829" s="3" t="s">
        <v>1783</v>
      </c>
      <c r="F829" s="4" t="s">
        <v>504</v>
      </c>
      <c r="G829" s="5" t="s">
        <v>505</v>
      </c>
      <c r="H829" s="4" t="s">
        <v>506</v>
      </c>
      <c r="I829" s="3" t="s">
        <v>2624</v>
      </c>
      <c r="J829" s="3" t="s">
        <v>28</v>
      </c>
      <c r="K829" s="6"/>
      <c r="L829" s="6">
        <v>48</v>
      </c>
      <c r="M829" s="6">
        <f t="shared" si="87"/>
        <v>48</v>
      </c>
      <c r="N829" s="8">
        <v>1890</v>
      </c>
      <c r="O829" s="149"/>
    </row>
    <row r="830" spans="1:15" s="9" customFormat="1" ht="16.5" customHeight="1">
      <c r="A830" s="2">
        <v>57</v>
      </c>
      <c r="B830" s="3">
        <v>17</v>
      </c>
      <c r="C830" s="134">
        <v>768</v>
      </c>
      <c r="D830" s="3"/>
      <c r="E830" s="3" t="s">
        <v>1800</v>
      </c>
      <c r="F830" s="4" t="s">
        <v>1806</v>
      </c>
      <c r="G830" s="5" t="s">
        <v>1805</v>
      </c>
      <c r="H830" s="4" t="s">
        <v>1768</v>
      </c>
      <c r="I830" s="3" t="s">
        <v>2624</v>
      </c>
      <c r="J830" s="3" t="s">
        <v>85</v>
      </c>
      <c r="K830" s="6"/>
      <c r="L830" s="6">
        <v>204</v>
      </c>
      <c r="M830" s="6">
        <f t="shared" si="87"/>
        <v>204</v>
      </c>
      <c r="N830" s="8">
        <v>231</v>
      </c>
      <c r="O830" s="149"/>
    </row>
    <row r="831" spans="1:15" s="9" customFormat="1" ht="16.5" customHeight="1">
      <c r="A831" s="2">
        <v>57</v>
      </c>
      <c r="B831" s="3">
        <v>18</v>
      </c>
      <c r="C831" s="3">
        <v>769</v>
      </c>
      <c r="D831" s="3"/>
      <c r="E831" s="3" t="s">
        <v>1800</v>
      </c>
      <c r="F831" s="4" t="s">
        <v>1804</v>
      </c>
      <c r="G831" s="5" t="s">
        <v>1803</v>
      </c>
      <c r="H831" s="4" t="s">
        <v>1765</v>
      </c>
      <c r="I831" s="3" t="s">
        <v>2624</v>
      </c>
      <c r="J831" s="3" t="s">
        <v>85</v>
      </c>
      <c r="K831" s="6"/>
      <c r="L831" s="6">
        <v>204</v>
      </c>
      <c r="M831" s="6">
        <f t="shared" si="87"/>
        <v>204</v>
      </c>
      <c r="N831" s="8">
        <v>231</v>
      </c>
      <c r="O831" s="149"/>
    </row>
    <row r="832" spans="1:15" s="9" customFormat="1" ht="16.5" customHeight="1">
      <c r="A832" s="2">
        <v>57</v>
      </c>
      <c r="B832" s="3">
        <v>19</v>
      </c>
      <c r="C832" s="134">
        <v>770</v>
      </c>
      <c r="D832" s="3"/>
      <c r="E832" s="3" t="s">
        <v>1800</v>
      </c>
      <c r="F832" s="4" t="s">
        <v>1802</v>
      </c>
      <c r="G832" s="5" t="s">
        <v>1801</v>
      </c>
      <c r="H832" s="4" t="s">
        <v>1761</v>
      </c>
      <c r="I832" s="3" t="s">
        <v>2625</v>
      </c>
      <c r="J832" s="3" t="s">
        <v>85</v>
      </c>
      <c r="K832" s="6"/>
      <c r="L832" s="6">
        <v>204</v>
      </c>
      <c r="M832" s="6">
        <f t="shared" si="87"/>
        <v>204</v>
      </c>
      <c r="N832" s="8">
        <v>231</v>
      </c>
      <c r="O832" s="149"/>
    </row>
    <row r="833" spans="1:15" s="9" customFormat="1" ht="16.5" customHeight="1">
      <c r="A833" s="2">
        <v>57</v>
      </c>
      <c r="B833" s="3">
        <v>20</v>
      </c>
      <c r="C833" s="3">
        <v>771</v>
      </c>
      <c r="D833" s="3"/>
      <c r="E833" s="3" t="s">
        <v>1800</v>
      </c>
      <c r="F833" s="4" t="s">
        <v>1799</v>
      </c>
      <c r="G833" s="5" t="s">
        <v>1796</v>
      </c>
      <c r="H833" s="4" t="s">
        <v>1798</v>
      </c>
      <c r="I833" s="3" t="s">
        <v>2626</v>
      </c>
      <c r="J833" s="3" t="s">
        <v>85</v>
      </c>
      <c r="K833" s="6"/>
      <c r="L833" s="6">
        <v>96</v>
      </c>
      <c r="M833" s="6">
        <f t="shared" si="87"/>
        <v>96</v>
      </c>
      <c r="N833" s="8">
        <v>2060</v>
      </c>
      <c r="O833" s="149"/>
    </row>
    <row r="834" spans="1:15" s="9" customFormat="1" ht="16.5" customHeight="1">
      <c r="A834" s="2">
        <v>57</v>
      </c>
      <c r="B834" s="3">
        <v>21</v>
      </c>
      <c r="C834" s="134">
        <v>772</v>
      </c>
      <c r="D834" s="3"/>
      <c r="E834" s="3" t="s">
        <v>75</v>
      </c>
      <c r="F834" s="4" t="s">
        <v>1797</v>
      </c>
      <c r="G834" s="5" t="s">
        <v>1796</v>
      </c>
      <c r="H834" s="4" t="s">
        <v>1795</v>
      </c>
      <c r="I834" s="3" t="s">
        <v>2624</v>
      </c>
      <c r="J834" s="3" t="s">
        <v>85</v>
      </c>
      <c r="K834" s="6"/>
      <c r="L834" s="6">
        <v>96</v>
      </c>
      <c r="M834" s="6">
        <f t="shared" si="87"/>
        <v>96</v>
      </c>
      <c r="N834" s="8">
        <v>2060</v>
      </c>
      <c r="O834" s="149"/>
    </row>
    <row r="835" spans="1:15" s="9" customFormat="1" ht="16.5" customHeight="1">
      <c r="A835" s="2">
        <v>57</v>
      </c>
      <c r="B835" s="3">
        <v>22</v>
      </c>
      <c r="C835" s="3">
        <v>773</v>
      </c>
      <c r="D835" s="3"/>
      <c r="E835" s="3" t="s">
        <v>75</v>
      </c>
      <c r="F835" s="4" t="s">
        <v>1820</v>
      </c>
      <c r="G835" s="5" t="s">
        <v>1819</v>
      </c>
      <c r="H835" s="4">
        <v>1</v>
      </c>
      <c r="I835" s="3" t="s">
        <v>2624</v>
      </c>
      <c r="J835" s="3" t="s">
        <v>85</v>
      </c>
      <c r="K835" s="6"/>
      <c r="L835" s="6">
        <v>204</v>
      </c>
      <c r="M835" s="6">
        <f t="shared" si="87"/>
        <v>204</v>
      </c>
      <c r="N835" s="8">
        <v>231</v>
      </c>
      <c r="O835" s="149"/>
    </row>
    <row r="836" spans="1:15" s="9" customFormat="1" ht="16.5" customHeight="1">
      <c r="A836" s="2">
        <v>57</v>
      </c>
      <c r="B836" s="3">
        <v>23</v>
      </c>
      <c r="C836" s="134">
        <v>774</v>
      </c>
      <c r="D836" s="3"/>
      <c r="E836" s="3" t="s">
        <v>1813</v>
      </c>
      <c r="F836" s="4" t="s">
        <v>1827</v>
      </c>
      <c r="G836" s="5" t="s">
        <v>1826</v>
      </c>
      <c r="H836" s="4" t="s">
        <v>1768</v>
      </c>
      <c r="I836" s="3" t="s">
        <v>2624</v>
      </c>
      <c r="J836" s="3" t="s">
        <v>85</v>
      </c>
      <c r="K836" s="6"/>
      <c r="L836" s="6">
        <v>12</v>
      </c>
      <c r="M836" s="6">
        <f t="shared" si="87"/>
        <v>12</v>
      </c>
      <c r="N836" s="8">
        <v>4100</v>
      </c>
      <c r="O836" s="149"/>
    </row>
    <row r="837" spans="1:15" s="9" customFormat="1" ht="16.5" customHeight="1">
      <c r="A837" s="2">
        <v>57</v>
      </c>
      <c r="B837" s="3">
        <v>24</v>
      </c>
      <c r="C837" s="3">
        <v>775</v>
      </c>
      <c r="D837" s="3"/>
      <c r="E837" s="3" t="s">
        <v>1821</v>
      </c>
      <c r="F837" s="4" t="s">
        <v>1825</v>
      </c>
      <c r="G837" s="5" t="s">
        <v>1824</v>
      </c>
      <c r="H837" s="4">
        <v>1</v>
      </c>
      <c r="I837" s="3" t="s">
        <v>2625</v>
      </c>
      <c r="J837" s="3" t="s">
        <v>85</v>
      </c>
      <c r="K837" s="6"/>
      <c r="L837" s="6">
        <v>36</v>
      </c>
      <c r="M837" s="6">
        <f t="shared" si="87"/>
        <v>36</v>
      </c>
      <c r="N837" s="8">
        <v>6050</v>
      </c>
      <c r="O837" s="149"/>
    </row>
    <row r="838" spans="1:15" s="9" customFormat="1" ht="16.5" customHeight="1">
      <c r="A838" s="2">
        <v>57</v>
      </c>
      <c r="B838" s="3">
        <v>25</v>
      </c>
      <c r="C838" s="134">
        <v>776</v>
      </c>
      <c r="D838" s="3"/>
      <c r="E838" s="3" t="s">
        <v>1821</v>
      </c>
      <c r="F838" s="4" t="s">
        <v>1823</v>
      </c>
      <c r="G838" s="5" t="s">
        <v>1822</v>
      </c>
      <c r="H838" s="4">
        <v>2</v>
      </c>
      <c r="I838" s="3" t="s">
        <v>2624</v>
      </c>
      <c r="J838" s="3" t="s">
        <v>85</v>
      </c>
      <c r="K838" s="6"/>
      <c r="L838" s="6">
        <v>36</v>
      </c>
      <c r="M838" s="6">
        <f t="shared" si="87"/>
        <v>36</v>
      </c>
      <c r="N838" s="8">
        <v>6050</v>
      </c>
      <c r="O838" s="149"/>
    </row>
    <row r="839" spans="1:15" s="9" customFormat="1" ht="16.5" customHeight="1">
      <c r="A839" s="2">
        <v>57</v>
      </c>
      <c r="B839" s="3">
        <v>26</v>
      </c>
      <c r="C839" s="3">
        <v>777</v>
      </c>
      <c r="D839" s="3" t="s">
        <v>474</v>
      </c>
      <c r="E839" s="3"/>
      <c r="F839" s="4"/>
      <c r="G839" s="5" t="s">
        <v>508</v>
      </c>
      <c r="H839" s="4" t="s">
        <v>509</v>
      </c>
      <c r="I839" s="3" t="s">
        <v>2621</v>
      </c>
      <c r="J839" s="3" t="s">
        <v>79</v>
      </c>
      <c r="K839" s="6">
        <v>2</v>
      </c>
      <c r="L839" s="6"/>
      <c r="M839" s="6">
        <f t="shared" si="87"/>
        <v>2</v>
      </c>
      <c r="N839" s="8" t="s">
        <v>2934</v>
      </c>
      <c r="O839" s="149"/>
    </row>
    <row r="840" spans="1:15" s="9" customFormat="1" ht="16.5" customHeight="1">
      <c r="A840" s="2">
        <v>57</v>
      </c>
      <c r="B840" s="3">
        <v>27</v>
      </c>
      <c r="C840" s="134">
        <v>778</v>
      </c>
      <c r="D840" s="3" t="s">
        <v>510</v>
      </c>
      <c r="E840" s="3"/>
      <c r="F840" s="4" t="s">
        <v>511</v>
      </c>
      <c r="G840" s="5" t="s">
        <v>512</v>
      </c>
      <c r="H840" s="4" t="s">
        <v>513</v>
      </c>
      <c r="I840" s="3" t="s">
        <v>2627</v>
      </c>
      <c r="J840" s="3" t="s">
        <v>514</v>
      </c>
      <c r="K840" s="6">
        <v>50</v>
      </c>
      <c r="L840" s="6"/>
      <c r="M840" s="6">
        <f t="shared" si="87"/>
        <v>50</v>
      </c>
      <c r="N840" s="8">
        <v>250200</v>
      </c>
      <c r="O840" s="149" t="s">
        <v>2937</v>
      </c>
    </row>
    <row r="841" spans="1:15" s="9" customFormat="1" ht="16.5" customHeight="1">
      <c r="A841" s="2">
        <v>57</v>
      </c>
      <c r="B841" s="3">
        <v>28</v>
      </c>
      <c r="C841" s="3">
        <v>779</v>
      </c>
      <c r="D841" s="3" t="s">
        <v>474</v>
      </c>
      <c r="E841" s="3"/>
      <c r="F841" s="4"/>
      <c r="G841" s="5" t="s">
        <v>515</v>
      </c>
      <c r="H841" s="4" t="s">
        <v>516</v>
      </c>
      <c r="I841" s="3" t="s">
        <v>2628</v>
      </c>
      <c r="J841" s="3" t="s">
        <v>517</v>
      </c>
      <c r="K841" s="6">
        <v>2</v>
      </c>
      <c r="L841" s="6"/>
      <c r="M841" s="6">
        <f t="shared" si="87"/>
        <v>2</v>
      </c>
      <c r="N841" s="8" t="s">
        <v>2934</v>
      </c>
      <c r="O841" s="149"/>
    </row>
    <row r="842" spans="1:15" s="9" customFormat="1" ht="16.5" customHeight="1">
      <c r="A842" s="2">
        <v>57</v>
      </c>
      <c r="B842" s="3">
        <v>29</v>
      </c>
      <c r="C842" s="134">
        <v>780</v>
      </c>
      <c r="D842" s="3" t="s">
        <v>474</v>
      </c>
      <c r="E842" s="3"/>
      <c r="F842" s="4" t="s">
        <v>518</v>
      </c>
      <c r="G842" s="5" t="s">
        <v>519</v>
      </c>
      <c r="H842" s="4">
        <v>198001</v>
      </c>
      <c r="I842" s="3" t="s">
        <v>2629</v>
      </c>
      <c r="J842" s="3" t="s">
        <v>520</v>
      </c>
      <c r="K842" s="6">
        <v>3</v>
      </c>
      <c r="L842" s="6"/>
      <c r="M842" s="6">
        <f t="shared" ref="M842:M905" si="88">K842+L842</f>
        <v>3</v>
      </c>
      <c r="N842" s="8">
        <v>168240</v>
      </c>
      <c r="O842" s="149" t="s">
        <v>2953</v>
      </c>
    </row>
    <row r="843" spans="1:15" s="9" customFormat="1" ht="16.5" customHeight="1">
      <c r="A843" s="2">
        <v>57</v>
      </c>
      <c r="B843" s="3">
        <v>30</v>
      </c>
      <c r="C843" s="3">
        <v>781</v>
      </c>
      <c r="D843" s="3" t="s">
        <v>521</v>
      </c>
      <c r="E843" s="3"/>
      <c r="F843" s="4"/>
      <c r="G843" s="5" t="s">
        <v>522</v>
      </c>
      <c r="H843" s="4" t="s">
        <v>523</v>
      </c>
      <c r="I843" s="3"/>
      <c r="J843" s="3" t="s">
        <v>524</v>
      </c>
      <c r="K843" s="6">
        <v>50</v>
      </c>
      <c r="L843" s="6"/>
      <c r="M843" s="6">
        <f t="shared" si="88"/>
        <v>50</v>
      </c>
      <c r="N843" s="8" t="s">
        <v>2934</v>
      </c>
      <c r="O843" s="149"/>
    </row>
    <row r="844" spans="1:15" s="9" customFormat="1" ht="16.5" customHeight="1">
      <c r="A844" s="2">
        <v>57</v>
      </c>
      <c r="B844" s="3">
        <v>31</v>
      </c>
      <c r="C844" s="134">
        <v>782</v>
      </c>
      <c r="D844" s="3" t="s">
        <v>474</v>
      </c>
      <c r="E844" s="3"/>
      <c r="F844" s="4" t="s">
        <v>525</v>
      </c>
      <c r="G844" s="5" t="s">
        <v>526</v>
      </c>
      <c r="H844" s="4" t="s">
        <v>527</v>
      </c>
      <c r="I844" s="3" t="s">
        <v>2630</v>
      </c>
      <c r="J844" s="3" t="s">
        <v>495</v>
      </c>
      <c r="K844" s="6">
        <v>2</v>
      </c>
      <c r="L844" s="6"/>
      <c r="M844" s="6">
        <f t="shared" si="88"/>
        <v>2</v>
      </c>
      <c r="N844" s="8">
        <v>147600</v>
      </c>
      <c r="O844" s="149" t="s">
        <v>2972</v>
      </c>
    </row>
    <row r="845" spans="1:15" s="9" customFormat="1" ht="16.5" customHeight="1">
      <c r="A845" s="2">
        <v>57</v>
      </c>
      <c r="B845" s="3">
        <v>32</v>
      </c>
      <c r="C845" s="3">
        <v>783</v>
      </c>
      <c r="D845" s="3" t="s">
        <v>474</v>
      </c>
      <c r="E845" s="3"/>
      <c r="F845" s="4" t="s">
        <v>528</v>
      </c>
      <c r="G845" s="5" t="s">
        <v>529</v>
      </c>
      <c r="H845" s="4" t="s">
        <v>530</v>
      </c>
      <c r="I845" s="3" t="s">
        <v>2631</v>
      </c>
      <c r="J845" s="3" t="s">
        <v>495</v>
      </c>
      <c r="K845" s="6">
        <v>2</v>
      </c>
      <c r="L845" s="6"/>
      <c r="M845" s="6">
        <f t="shared" si="88"/>
        <v>2</v>
      </c>
      <c r="N845" s="8">
        <v>162000</v>
      </c>
      <c r="O845" s="149" t="s">
        <v>2972</v>
      </c>
    </row>
    <row r="846" spans="1:15" s="9" customFormat="1" ht="16.5" customHeight="1">
      <c r="A846" s="2">
        <v>57</v>
      </c>
      <c r="B846" s="3">
        <v>33</v>
      </c>
      <c r="C846" s="134">
        <v>784</v>
      </c>
      <c r="D846" s="3"/>
      <c r="E846" s="3" t="s">
        <v>1813</v>
      </c>
      <c r="F846" s="4" t="s">
        <v>1812</v>
      </c>
      <c r="G846" s="5" t="s">
        <v>1811</v>
      </c>
      <c r="H846" s="4">
        <v>1</v>
      </c>
      <c r="I846" s="3" t="s">
        <v>2624</v>
      </c>
      <c r="J846" s="3" t="s">
        <v>85</v>
      </c>
      <c r="K846" s="6"/>
      <c r="L846" s="6">
        <v>12</v>
      </c>
      <c r="M846" s="6">
        <f t="shared" si="88"/>
        <v>12</v>
      </c>
      <c r="N846" s="8">
        <v>2400</v>
      </c>
      <c r="O846" s="149"/>
    </row>
    <row r="847" spans="1:15" s="9" customFormat="1" ht="16.5" customHeight="1">
      <c r="A847" s="2">
        <v>57</v>
      </c>
      <c r="B847" s="3">
        <v>34</v>
      </c>
      <c r="C847" s="3">
        <v>785</v>
      </c>
      <c r="D847" s="3" t="s">
        <v>474</v>
      </c>
      <c r="E847" s="3"/>
      <c r="F847" s="4" t="s">
        <v>531</v>
      </c>
      <c r="G847" s="5" t="s">
        <v>532</v>
      </c>
      <c r="H847" s="4" t="s">
        <v>533</v>
      </c>
      <c r="I847" s="3" t="s">
        <v>2628</v>
      </c>
      <c r="J847" s="3" t="s">
        <v>495</v>
      </c>
      <c r="K847" s="6">
        <v>2</v>
      </c>
      <c r="L847" s="6"/>
      <c r="M847" s="6">
        <f t="shared" si="88"/>
        <v>2</v>
      </c>
      <c r="N847" s="8">
        <v>182520</v>
      </c>
      <c r="O847" s="149" t="s">
        <v>2972</v>
      </c>
    </row>
    <row r="848" spans="1:15" s="9" customFormat="1" ht="16.5" customHeight="1">
      <c r="A848" s="2">
        <v>57</v>
      </c>
      <c r="B848" s="3">
        <v>35</v>
      </c>
      <c r="C848" s="134">
        <v>786</v>
      </c>
      <c r="D848" s="3"/>
      <c r="E848" s="3" t="s">
        <v>75</v>
      </c>
      <c r="F848" s="4" t="s">
        <v>1810</v>
      </c>
      <c r="G848" s="5" t="s">
        <v>1809</v>
      </c>
      <c r="H848" s="4" t="s">
        <v>1761</v>
      </c>
      <c r="I848" s="3" t="s">
        <v>2624</v>
      </c>
      <c r="J848" s="3" t="s">
        <v>85</v>
      </c>
      <c r="K848" s="6"/>
      <c r="L848" s="6">
        <v>12</v>
      </c>
      <c r="M848" s="6">
        <f t="shared" si="88"/>
        <v>12</v>
      </c>
      <c r="N848" s="8">
        <v>5070</v>
      </c>
      <c r="O848" s="149"/>
    </row>
    <row r="849" spans="1:15" s="9" customFormat="1" ht="16.5" customHeight="1">
      <c r="A849" s="2">
        <v>57</v>
      </c>
      <c r="B849" s="3">
        <v>36</v>
      </c>
      <c r="C849" s="3">
        <v>787</v>
      </c>
      <c r="D849" s="3"/>
      <c r="E849" s="3" t="s">
        <v>75</v>
      </c>
      <c r="F849" s="4" t="s">
        <v>1815</v>
      </c>
      <c r="G849" s="5" t="s">
        <v>1814</v>
      </c>
      <c r="H849" s="4" t="s">
        <v>1759</v>
      </c>
      <c r="I849" s="3" t="s">
        <v>2624</v>
      </c>
      <c r="J849" s="3" t="s">
        <v>85</v>
      </c>
      <c r="K849" s="6"/>
      <c r="L849" s="6">
        <v>12</v>
      </c>
      <c r="M849" s="6">
        <f t="shared" si="88"/>
        <v>12</v>
      </c>
      <c r="N849" s="8">
        <v>5070</v>
      </c>
      <c r="O849" s="149"/>
    </row>
    <row r="850" spans="1:15" s="9" customFormat="1" ht="16.5" customHeight="1">
      <c r="A850" s="2">
        <v>57</v>
      </c>
      <c r="B850" s="3">
        <v>37</v>
      </c>
      <c r="C850" s="134">
        <v>788</v>
      </c>
      <c r="D850" s="3" t="s">
        <v>474</v>
      </c>
      <c r="E850" s="3"/>
      <c r="F850" s="4" t="s">
        <v>534</v>
      </c>
      <c r="G850" s="5" t="s">
        <v>535</v>
      </c>
      <c r="H850" s="4" t="s">
        <v>536</v>
      </c>
      <c r="I850" s="3" t="s">
        <v>2628</v>
      </c>
      <c r="J850" s="3" t="s">
        <v>520</v>
      </c>
      <c r="K850" s="6">
        <v>2</v>
      </c>
      <c r="L850" s="6"/>
      <c r="M850" s="6">
        <f t="shared" si="88"/>
        <v>2</v>
      </c>
      <c r="N850" s="8">
        <v>77520</v>
      </c>
      <c r="O850" s="149" t="s">
        <v>2953</v>
      </c>
    </row>
    <row r="851" spans="1:15" s="9" customFormat="1" ht="16.5" customHeight="1">
      <c r="A851" s="2">
        <v>57</v>
      </c>
      <c r="B851" s="3">
        <v>38</v>
      </c>
      <c r="C851" s="3">
        <v>789</v>
      </c>
      <c r="D851" s="3" t="s">
        <v>474</v>
      </c>
      <c r="E851" s="3"/>
      <c r="F851" s="4" t="s">
        <v>537</v>
      </c>
      <c r="G851" s="5" t="s">
        <v>538</v>
      </c>
      <c r="H851" s="4" t="s">
        <v>539</v>
      </c>
      <c r="I851" s="3" t="s">
        <v>2628</v>
      </c>
      <c r="J851" s="3" t="s">
        <v>495</v>
      </c>
      <c r="K851" s="6">
        <v>2</v>
      </c>
      <c r="L851" s="6"/>
      <c r="M851" s="6">
        <f t="shared" si="88"/>
        <v>2</v>
      </c>
      <c r="N851" s="8">
        <v>399240</v>
      </c>
      <c r="O851" s="149" t="s">
        <v>2972</v>
      </c>
    </row>
    <row r="852" spans="1:15" s="9" customFormat="1" ht="16.5" customHeight="1">
      <c r="A852" s="2">
        <v>57</v>
      </c>
      <c r="B852" s="3">
        <v>39</v>
      </c>
      <c r="C852" s="134">
        <v>790</v>
      </c>
      <c r="D852" s="3" t="s">
        <v>474</v>
      </c>
      <c r="E852" s="3"/>
      <c r="F852" s="4" t="s">
        <v>540</v>
      </c>
      <c r="G852" s="5" t="s">
        <v>541</v>
      </c>
      <c r="H852" s="4" t="s">
        <v>542</v>
      </c>
      <c r="I852" s="3" t="s">
        <v>2628</v>
      </c>
      <c r="J852" s="3" t="s">
        <v>520</v>
      </c>
      <c r="K852" s="6">
        <v>2</v>
      </c>
      <c r="L852" s="6"/>
      <c r="M852" s="6">
        <f t="shared" si="88"/>
        <v>2</v>
      </c>
      <c r="N852" s="8">
        <v>192240</v>
      </c>
      <c r="O852" s="149" t="s">
        <v>2953</v>
      </c>
    </row>
    <row r="853" spans="1:15" s="9" customFormat="1" ht="16.5" customHeight="1">
      <c r="A853" s="2">
        <v>57</v>
      </c>
      <c r="B853" s="3">
        <v>40</v>
      </c>
      <c r="C853" s="3">
        <v>791</v>
      </c>
      <c r="D853" s="3" t="s">
        <v>474</v>
      </c>
      <c r="E853" s="3"/>
      <c r="F853" s="4" t="s">
        <v>543</v>
      </c>
      <c r="G853" s="5" t="s">
        <v>544</v>
      </c>
      <c r="H853" s="4" t="s">
        <v>396</v>
      </c>
      <c r="I853" s="3" t="s">
        <v>2632</v>
      </c>
      <c r="J853" s="3" t="s">
        <v>79</v>
      </c>
      <c r="K853" s="6">
        <v>2</v>
      </c>
      <c r="L853" s="6"/>
      <c r="M853" s="6">
        <f t="shared" si="88"/>
        <v>2</v>
      </c>
      <c r="N853" s="8">
        <v>17000</v>
      </c>
      <c r="O853" s="149"/>
    </row>
    <row r="854" spans="1:15" s="9" customFormat="1" ht="16.5" customHeight="1">
      <c r="A854" s="2">
        <v>57</v>
      </c>
      <c r="B854" s="3">
        <v>41</v>
      </c>
      <c r="C854" s="134">
        <v>792</v>
      </c>
      <c r="D854" s="3"/>
      <c r="E854" s="3" t="s">
        <v>75</v>
      </c>
      <c r="F854" s="4" t="s">
        <v>543</v>
      </c>
      <c r="G854" s="5" t="s">
        <v>1831</v>
      </c>
      <c r="H854" s="4" t="s">
        <v>84</v>
      </c>
      <c r="I854" s="3" t="s">
        <v>2633</v>
      </c>
      <c r="J854" s="3" t="s">
        <v>85</v>
      </c>
      <c r="K854" s="6"/>
      <c r="L854" s="6">
        <v>10</v>
      </c>
      <c r="M854" s="6">
        <f t="shared" si="88"/>
        <v>10</v>
      </c>
      <c r="N854" s="8">
        <v>17000</v>
      </c>
      <c r="O854" s="149"/>
    </row>
    <row r="855" spans="1:15" s="9" customFormat="1" ht="16.5" customHeight="1">
      <c r="A855" s="2">
        <v>57</v>
      </c>
      <c r="B855" s="3">
        <v>42</v>
      </c>
      <c r="C855" s="3">
        <v>793</v>
      </c>
      <c r="D855" s="3" t="s">
        <v>545</v>
      </c>
      <c r="E855" s="3"/>
      <c r="F855" s="4"/>
      <c r="G855" s="5" t="s">
        <v>546</v>
      </c>
      <c r="H855" s="4" t="s">
        <v>84</v>
      </c>
      <c r="I855" s="3" t="s">
        <v>2634</v>
      </c>
      <c r="J855" s="3" t="s">
        <v>35</v>
      </c>
      <c r="K855" s="6">
        <v>800</v>
      </c>
      <c r="L855" s="6"/>
      <c r="M855" s="6">
        <f t="shared" si="88"/>
        <v>800</v>
      </c>
      <c r="N855" s="8" t="s">
        <v>2934</v>
      </c>
      <c r="O855" s="149"/>
    </row>
    <row r="856" spans="1:15" s="9" customFormat="1" ht="16.5" customHeight="1">
      <c r="A856" s="2">
        <v>57</v>
      </c>
      <c r="B856" s="3">
        <v>43</v>
      </c>
      <c r="C856" s="134">
        <v>794</v>
      </c>
      <c r="D856" s="3" t="s">
        <v>474</v>
      </c>
      <c r="E856" s="3"/>
      <c r="F856" s="4"/>
      <c r="G856" s="5" t="s">
        <v>547</v>
      </c>
      <c r="H856" s="4" t="s">
        <v>548</v>
      </c>
      <c r="I856" s="3" t="s">
        <v>2635</v>
      </c>
      <c r="J856" s="3" t="s">
        <v>79</v>
      </c>
      <c r="K856" s="6">
        <v>5</v>
      </c>
      <c r="L856" s="6"/>
      <c r="M856" s="6">
        <f t="shared" si="88"/>
        <v>5</v>
      </c>
      <c r="N856" s="8" t="s">
        <v>2934</v>
      </c>
      <c r="O856" s="149"/>
    </row>
    <row r="857" spans="1:15" s="9" customFormat="1" ht="16.5" customHeight="1">
      <c r="A857" s="2">
        <v>57</v>
      </c>
      <c r="B857" s="3">
        <v>44</v>
      </c>
      <c r="C857" s="3">
        <v>795</v>
      </c>
      <c r="D857" s="3" t="s">
        <v>474</v>
      </c>
      <c r="E857" s="3"/>
      <c r="F857" s="4" t="s">
        <v>549</v>
      </c>
      <c r="G857" s="5" t="s">
        <v>550</v>
      </c>
      <c r="H857" s="4" t="s">
        <v>84</v>
      </c>
      <c r="I857" s="3" t="s">
        <v>2636</v>
      </c>
      <c r="J857" s="3" t="s">
        <v>79</v>
      </c>
      <c r="K857" s="6">
        <v>3</v>
      </c>
      <c r="L857" s="6"/>
      <c r="M857" s="6">
        <f t="shared" si="88"/>
        <v>3</v>
      </c>
      <c r="N857" s="8">
        <v>28530</v>
      </c>
      <c r="O857" s="149"/>
    </row>
    <row r="858" spans="1:15" s="9" customFormat="1" ht="16.5" customHeight="1">
      <c r="A858" s="2">
        <v>57</v>
      </c>
      <c r="B858" s="3">
        <v>45</v>
      </c>
      <c r="C858" s="134">
        <v>796</v>
      </c>
      <c r="D858" s="3" t="s">
        <v>488</v>
      </c>
      <c r="E858" s="3"/>
      <c r="F858" s="4" t="s">
        <v>551</v>
      </c>
      <c r="G858" s="5" t="s">
        <v>552</v>
      </c>
      <c r="H858" s="4" t="s">
        <v>84</v>
      </c>
      <c r="I858" s="3" t="s">
        <v>2636</v>
      </c>
      <c r="J858" s="3" t="s">
        <v>35</v>
      </c>
      <c r="K858" s="6">
        <v>20</v>
      </c>
      <c r="L858" s="6"/>
      <c r="M858" s="6">
        <f t="shared" si="88"/>
        <v>20</v>
      </c>
      <c r="N858" s="8">
        <v>14540</v>
      </c>
      <c r="O858" s="149"/>
    </row>
    <row r="859" spans="1:15" s="9" customFormat="1" ht="16.5" customHeight="1">
      <c r="A859" s="2">
        <v>57</v>
      </c>
      <c r="B859" s="3">
        <v>46</v>
      </c>
      <c r="C859" s="3">
        <v>797</v>
      </c>
      <c r="D859" s="3" t="s">
        <v>474</v>
      </c>
      <c r="E859" s="3"/>
      <c r="F859" s="4"/>
      <c r="G859" s="5" t="s">
        <v>553</v>
      </c>
      <c r="H859" s="4" t="s">
        <v>554</v>
      </c>
      <c r="I859" s="3" t="s">
        <v>2637</v>
      </c>
      <c r="J859" s="3" t="s">
        <v>85</v>
      </c>
      <c r="K859" s="6">
        <v>3</v>
      </c>
      <c r="L859" s="6"/>
      <c r="M859" s="6">
        <f t="shared" si="88"/>
        <v>3</v>
      </c>
      <c r="N859" s="8" t="s">
        <v>2934</v>
      </c>
      <c r="O859" s="149"/>
    </row>
    <row r="860" spans="1:15" s="9" customFormat="1" ht="16.5" customHeight="1">
      <c r="A860" s="2">
        <v>57</v>
      </c>
      <c r="B860" s="3">
        <v>47</v>
      </c>
      <c r="C860" s="134">
        <v>798</v>
      </c>
      <c r="D860" s="3" t="s">
        <v>474</v>
      </c>
      <c r="E860" s="3"/>
      <c r="F860" s="4"/>
      <c r="G860" s="5" t="s">
        <v>555</v>
      </c>
      <c r="H860" s="4" t="s">
        <v>84</v>
      </c>
      <c r="I860" s="3" t="s">
        <v>2620</v>
      </c>
      <c r="J860" s="3" t="s">
        <v>85</v>
      </c>
      <c r="K860" s="6">
        <v>10</v>
      </c>
      <c r="L860" s="6"/>
      <c r="M860" s="6">
        <f t="shared" si="88"/>
        <v>10</v>
      </c>
      <c r="N860" s="8" t="s">
        <v>2934</v>
      </c>
      <c r="O860" s="149"/>
    </row>
    <row r="861" spans="1:15" s="9" customFormat="1" ht="16.5" customHeight="1">
      <c r="A861" s="2">
        <v>57</v>
      </c>
      <c r="B861" s="3">
        <v>48</v>
      </c>
      <c r="C861" s="3">
        <v>799</v>
      </c>
      <c r="D861" s="3" t="s">
        <v>488</v>
      </c>
      <c r="E861" s="3"/>
      <c r="F861" s="4"/>
      <c r="G861" s="5" t="s">
        <v>556</v>
      </c>
      <c r="H861" s="4" t="s">
        <v>557</v>
      </c>
      <c r="I861" s="3" t="s">
        <v>2638</v>
      </c>
      <c r="J861" s="3" t="s">
        <v>35</v>
      </c>
      <c r="K861" s="6">
        <v>50</v>
      </c>
      <c r="L861" s="6"/>
      <c r="M861" s="6">
        <f t="shared" si="88"/>
        <v>50</v>
      </c>
      <c r="N861" s="8" t="s">
        <v>2934</v>
      </c>
      <c r="O861" s="149"/>
    </row>
    <row r="862" spans="1:15" s="9" customFormat="1" ht="16.5" customHeight="1">
      <c r="A862" s="2">
        <v>57</v>
      </c>
      <c r="B862" s="3">
        <v>49</v>
      </c>
      <c r="C862" s="134">
        <v>800</v>
      </c>
      <c r="D862" s="3" t="s">
        <v>488</v>
      </c>
      <c r="E862" s="3"/>
      <c r="F862" s="4"/>
      <c r="G862" s="5" t="s">
        <v>556</v>
      </c>
      <c r="H862" s="4" t="s">
        <v>558</v>
      </c>
      <c r="I862" s="3" t="s">
        <v>2638</v>
      </c>
      <c r="J862" s="3" t="s">
        <v>18</v>
      </c>
      <c r="K862" s="6">
        <v>50</v>
      </c>
      <c r="L862" s="6"/>
      <c r="M862" s="6">
        <f t="shared" si="88"/>
        <v>50</v>
      </c>
      <c r="N862" s="8" t="s">
        <v>2934</v>
      </c>
      <c r="O862" s="149"/>
    </row>
    <row r="863" spans="1:15" s="9" customFormat="1" ht="16.5" customHeight="1">
      <c r="A863" s="2">
        <v>57</v>
      </c>
      <c r="B863" s="3">
        <v>50</v>
      </c>
      <c r="C863" s="3">
        <v>801</v>
      </c>
      <c r="D863" s="3" t="s">
        <v>559</v>
      </c>
      <c r="E863" s="3"/>
      <c r="F863" s="4"/>
      <c r="G863" s="5" t="s">
        <v>560</v>
      </c>
      <c r="H863" s="4" t="s">
        <v>561</v>
      </c>
      <c r="I863" s="3"/>
      <c r="J863" s="3" t="s">
        <v>18</v>
      </c>
      <c r="K863" s="6">
        <v>50</v>
      </c>
      <c r="L863" s="6"/>
      <c r="M863" s="6">
        <f t="shared" si="88"/>
        <v>50</v>
      </c>
      <c r="N863" s="8" t="s">
        <v>2934</v>
      </c>
      <c r="O863" s="149"/>
    </row>
    <row r="864" spans="1:15" s="9" customFormat="1" ht="16.5" customHeight="1">
      <c r="A864" s="2">
        <v>57</v>
      </c>
      <c r="B864" s="3">
        <v>51</v>
      </c>
      <c r="C864" s="134">
        <v>802</v>
      </c>
      <c r="D864" s="3" t="s">
        <v>562</v>
      </c>
      <c r="E864" s="3"/>
      <c r="F864" s="4" t="s">
        <v>563</v>
      </c>
      <c r="G864" s="5" t="s">
        <v>564</v>
      </c>
      <c r="H864" s="4" t="s">
        <v>565</v>
      </c>
      <c r="I864" s="3" t="s">
        <v>2628</v>
      </c>
      <c r="J864" s="3" t="s">
        <v>566</v>
      </c>
      <c r="K864" s="6">
        <v>1</v>
      </c>
      <c r="L864" s="6"/>
      <c r="M864" s="6">
        <f t="shared" si="88"/>
        <v>1</v>
      </c>
      <c r="N864" s="8">
        <v>147600</v>
      </c>
      <c r="O864" s="149" t="s">
        <v>2972</v>
      </c>
    </row>
    <row r="865" spans="1:15" s="9" customFormat="1" ht="16.5" customHeight="1">
      <c r="A865" s="2">
        <v>57</v>
      </c>
      <c r="B865" s="3">
        <v>52</v>
      </c>
      <c r="C865" s="3">
        <v>803</v>
      </c>
      <c r="D865" s="3" t="s">
        <v>567</v>
      </c>
      <c r="E865" s="3"/>
      <c r="F865" s="4"/>
      <c r="G865" s="5" t="s">
        <v>568</v>
      </c>
      <c r="H865" s="4" t="s">
        <v>569</v>
      </c>
      <c r="I865" s="3" t="s">
        <v>2630</v>
      </c>
      <c r="J865" s="3" t="s">
        <v>570</v>
      </c>
      <c r="K865" s="6">
        <v>1</v>
      </c>
      <c r="L865" s="6"/>
      <c r="M865" s="6">
        <f t="shared" si="88"/>
        <v>1</v>
      </c>
      <c r="N865" s="8" t="s">
        <v>2934</v>
      </c>
      <c r="O865" s="149"/>
    </row>
    <row r="866" spans="1:15" s="9" customFormat="1" ht="16.5" customHeight="1">
      <c r="A866" s="2">
        <v>57</v>
      </c>
      <c r="B866" s="3">
        <v>53</v>
      </c>
      <c r="C866" s="134">
        <v>804</v>
      </c>
      <c r="D866" s="3" t="s">
        <v>562</v>
      </c>
      <c r="E866" s="3"/>
      <c r="F866" s="4" t="s">
        <v>571</v>
      </c>
      <c r="G866" s="5" t="s">
        <v>572</v>
      </c>
      <c r="H866" s="4" t="s">
        <v>573</v>
      </c>
      <c r="I866" s="3" t="s">
        <v>2639</v>
      </c>
      <c r="J866" s="3" t="s">
        <v>566</v>
      </c>
      <c r="K866" s="6">
        <v>1</v>
      </c>
      <c r="L866" s="6"/>
      <c r="M866" s="6">
        <f t="shared" si="88"/>
        <v>1</v>
      </c>
      <c r="N866" s="8">
        <v>133200</v>
      </c>
      <c r="O866" s="149" t="s">
        <v>2972</v>
      </c>
    </row>
    <row r="867" spans="1:15" s="9" customFormat="1" ht="16.5" customHeight="1">
      <c r="A867" s="2">
        <v>57</v>
      </c>
      <c r="B867" s="3">
        <v>54</v>
      </c>
      <c r="C867" s="3">
        <v>805</v>
      </c>
      <c r="D867" s="3" t="s">
        <v>488</v>
      </c>
      <c r="E867" s="3"/>
      <c r="F867" s="4" t="s">
        <v>574</v>
      </c>
      <c r="G867" s="5" t="s">
        <v>575</v>
      </c>
      <c r="H867" s="4" t="s">
        <v>576</v>
      </c>
      <c r="I867" s="3" t="s">
        <v>2640</v>
      </c>
      <c r="J867" s="3" t="s">
        <v>577</v>
      </c>
      <c r="K867" s="6">
        <v>40</v>
      </c>
      <c r="L867" s="6"/>
      <c r="M867" s="6">
        <f t="shared" si="88"/>
        <v>40</v>
      </c>
      <c r="N867" s="8">
        <v>7250</v>
      </c>
      <c r="O867" s="149" t="s">
        <v>2973</v>
      </c>
    </row>
    <row r="868" spans="1:15" s="9" customFormat="1" ht="16.5" customHeight="1">
      <c r="A868" s="2">
        <v>57</v>
      </c>
      <c r="B868" s="3">
        <v>55</v>
      </c>
      <c r="C868" s="134">
        <v>806</v>
      </c>
      <c r="D868" s="3" t="s">
        <v>488</v>
      </c>
      <c r="E868" s="3"/>
      <c r="F868" s="4" t="s">
        <v>578</v>
      </c>
      <c r="G868" s="5" t="s">
        <v>575</v>
      </c>
      <c r="H868" s="4" t="s">
        <v>579</v>
      </c>
      <c r="I868" s="3" t="s">
        <v>2640</v>
      </c>
      <c r="J868" s="3" t="s">
        <v>580</v>
      </c>
      <c r="K868" s="6">
        <v>5</v>
      </c>
      <c r="L868" s="6"/>
      <c r="M868" s="6">
        <f t="shared" si="88"/>
        <v>5</v>
      </c>
      <c r="N868" s="8">
        <v>17900</v>
      </c>
      <c r="O868" s="149" t="s">
        <v>2973</v>
      </c>
    </row>
    <row r="869" spans="1:15" s="9" customFormat="1" ht="16.5" customHeight="1">
      <c r="A869" s="2">
        <v>57</v>
      </c>
      <c r="B869" s="3">
        <v>56</v>
      </c>
      <c r="C869" s="3">
        <v>807</v>
      </c>
      <c r="D869" s="3" t="s">
        <v>488</v>
      </c>
      <c r="E869" s="3"/>
      <c r="F869" s="4" t="s">
        <v>578</v>
      </c>
      <c r="G869" s="5" t="s">
        <v>575</v>
      </c>
      <c r="H869" s="4" t="s">
        <v>169</v>
      </c>
      <c r="I869" s="3" t="s">
        <v>2640</v>
      </c>
      <c r="J869" s="3" t="s">
        <v>580</v>
      </c>
      <c r="K869" s="6">
        <v>3</v>
      </c>
      <c r="L869" s="6"/>
      <c r="M869" s="6">
        <f t="shared" si="88"/>
        <v>3</v>
      </c>
      <c r="N869" s="8">
        <v>17542</v>
      </c>
      <c r="O869" s="149" t="s">
        <v>2973</v>
      </c>
    </row>
    <row r="870" spans="1:15" s="9" customFormat="1" ht="16.5" customHeight="1">
      <c r="A870" s="2">
        <v>57</v>
      </c>
      <c r="B870" s="3">
        <v>57</v>
      </c>
      <c r="C870" s="134">
        <v>808</v>
      </c>
      <c r="D870" s="3" t="s">
        <v>488</v>
      </c>
      <c r="E870" s="3"/>
      <c r="F870" s="4" t="s">
        <v>581</v>
      </c>
      <c r="G870" s="5" t="s">
        <v>575</v>
      </c>
      <c r="H870" s="4" t="s">
        <v>582</v>
      </c>
      <c r="I870" s="3" t="s">
        <v>2641</v>
      </c>
      <c r="J870" s="3" t="s">
        <v>583</v>
      </c>
      <c r="K870" s="6">
        <v>2</v>
      </c>
      <c r="L870" s="6"/>
      <c r="M870" s="6">
        <f t="shared" si="88"/>
        <v>2</v>
      </c>
      <c r="N870" s="8">
        <f>1690*30</f>
        <v>50700</v>
      </c>
      <c r="O870" s="149" t="s">
        <v>2974</v>
      </c>
    </row>
    <row r="871" spans="1:15" s="9" customFormat="1" ht="16.5" customHeight="1">
      <c r="A871" s="2">
        <v>57</v>
      </c>
      <c r="B871" s="3">
        <v>58</v>
      </c>
      <c r="C871" s="3">
        <v>809</v>
      </c>
      <c r="D871" s="3" t="s">
        <v>488</v>
      </c>
      <c r="E871" s="3"/>
      <c r="F871" s="4" t="s">
        <v>584</v>
      </c>
      <c r="G871" s="5" t="s">
        <v>575</v>
      </c>
      <c r="H871" s="4" t="s">
        <v>585</v>
      </c>
      <c r="I871" s="3" t="s">
        <v>2640</v>
      </c>
      <c r="J871" s="3" t="s">
        <v>583</v>
      </c>
      <c r="K871" s="6">
        <v>3</v>
      </c>
      <c r="L871" s="6"/>
      <c r="M871" s="6">
        <f t="shared" si="88"/>
        <v>3</v>
      </c>
      <c r="N871" s="8">
        <f>2460*30</f>
        <v>73800</v>
      </c>
      <c r="O871" s="149" t="s">
        <v>2975</v>
      </c>
    </row>
    <row r="872" spans="1:15" s="9" customFormat="1" ht="16.5" customHeight="1">
      <c r="A872" s="2">
        <v>57</v>
      </c>
      <c r="B872" s="3">
        <v>59</v>
      </c>
      <c r="C872" s="134">
        <v>810</v>
      </c>
      <c r="D872" s="3" t="s">
        <v>488</v>
      </c>
      <c r="E872" s="3"/>
      <c r="F872" s="4"/>
      <c r="G872" s="5" t="s">
        <v>586</v>
      </c>
      <c r="H872" s="4" t="s">
        <v>587</v>
      </c>
      <c r="I872" s="3" t="s">
        <v>2642</v>
      </c>
      <c r="J872" s="3" t="s">
        <v>38</v>
      </c>
      <c r="K872" s="6">
        <v>10</v>
      </c>
      <c r="L872" s="6"/>
      <c r="M872" s="6">
        <f t="shared" si="88"/>
        <v>10</v>
      </c>
      <c r="N872" s="8" t="s">
        <v>2934</v>
      </c>
      <c r="O872" s="149"/>
    </row>
    <row r="873" spans="1:15" s="9" customFormat="1" ht="16.5" customHeight="1">
      <c r="A873" s="2">
        <v>57</v>
      </c>
      <c r="B873" s="3">
        <v>60</v>
      </c>
      <c r="C873" s="3">
        <v>811</v>
      </c>
      <c r="D873" s="3" t="s">
        <v>488</v>
      </c>
      <c r="E873" s="3"/>
      <c r="F873" s="4"/>
      <c r="G873" s="5" t="s">
        <v>588</v>
      </c>
      <c r="H873" s="4" t="s">
        <v>589</v>
      </c>
      <c r="I873" s="3" t="s">
        <v>2643</v>
      </c>
      <c r="J873" s="3" t="s">
        <v>35</v>
      </c>
      <c r="K873" s="6">
        <v>200</v>
      </c>
      <c r="L873" s="6"/>
      <c r="M873" s="6">
        <f t="shared" si="88"/>
        <v>200</v>
      </c>
      <c r="N873" s="8" t="s">
        <v>2934</v>
      </c>
      <c r="O873" s="149"/>
    </row>
    <row r="874" spans="1:15" s="9" customFormat="1" ht="16.5" customHeight="1">
      <c r="A874" s="2">
        <v>57</v>
      </c>
      <c r="B874" s="3">
        <v>61</v>
      </c>
      <c r="C874" s="134">
        <v>812</v>
      </c>
      <c r="D874" s="3" t="s">
        <v>75</v>
      </c>
      <c r="E874" s="3"/>
      <c r="F874" s="4"/>
      <c r="G874" s="5" t="s">
        <v>590</v>
      </c>
      <c r="H874" s="4" t="s">
        <v>591</v>
      </c>
      <c r="I874" s="3" t="s">
        <v>2624</v>
      </c>
      <c r="J874" s="3" t="s">
        <v>503</v>
      </c>
      <c r="K874" s="6">
        <v>6</v>
      </c>
      <c r="L874" s="6"/>
      <c r="M874" s="6">
        <f t="shared" si="88"/>
        <v>6</v>
      </c>
      <c r="N874" s="8" t="s">
        <v>2934</v>
      </c>
      <c r="O874" s="149"/>
    </row>
    <row r="875" spans="1:15" s="9" customFormat="1" ht="16.5" customHeight="1">
      <c r="A875" s="2">
        <v>57</v>
      </c>
      <c r="B875" s="3">
        <v>62</v>
      </c>
      <c r="C875" s="3">
        <v>813</v>
      </c>
      <c r="D875" s="3"/>
      <c r="E875" s="3" t="s">
        <v>1839</v>
      </c>
      <c r="F875" s="4"/>
      <c r="G875" s="5" t="s">
        <v>1838</v>
      </c>
      <c r="H875" s="4" t="s">
        <v>591</v>
      </c>
      <c r="I875" s="3" t="s">
        <v>2624</v>
      </c>
      <c r="J875" s="3" t="s">
        <v>85</v>
      </c>
      <c r="K875" s="6"/>
      <c r="L875" s="6">
        <v>12</v>
      </c>
      <c r="M875" s="6">
        <f t="shared" si="88"/>
        <v>12</v>
      </c>
      <c r="N875" s="8" t="s">
        <v>1700</v>
      </c>
      <c r="O875" s="149"/>
    </row>
    <row r="876" spans="1:15" s="9" customFormat="1" ht="16.5" customHeight="1">
      <c r="A876" s="2">
        <v>57</v>
      </c>
      <c r="B876" s="3">
        <v>63</v>
      </c>
      <c r="C876" s="134">
        <v>814</v>
      </c>
      <c r="D876" s="3" t="s">
        <v>75</v>
      </c>
      <c r="E876" s="3"/>
      <c r="F876" s="4"/>
      <c r="G876" s="5" t="s">
        <v>592</v>
      </c>
      <c r="H876" s="4" t="s">
        <v>593</v>
      </c>
      <c r="I876" s="3"/>
      <c r="J876" s="3" t="s">
        <v>206</v>
      </c>
      <c r="K876" s="6">
        <v>20</v>
      </c>
      <c r="L876" s="6"/>
      <c r="M876" s="6">
        <f t="shared" si="88"/>
        <v>20</v>
      </c>
      <c r="N876" s="8" t="s">
        <v>2934</v>
      </c>
      <c r="O876" s="149"/>
    </row>
    <row r="877" spans="1:15" s="9" customFormat="1" ht="16.5" customHeight="1">
      <c r="A877" s="2">
        <v>57</v>
      </c>
      <c r="B877" s="3">
        <v>64</v>
      </c>
      <c r="C877" s="3">
        <v>815</v>
      </c>
      <c r="D877" s="3" t="s">
        <v>75</v>
      </c>
      <c r="E877" s="3"/>
      <c r="F877" s="4" t="s">
        <v>594</v>
      </c>
      <c r="G877" s="5" t="s">
        <v>595</v>
      </c>
      <c r="H877" s="4" t="s">
        <v>596</v>
      </c>
      <c r="I877" s="3"/>
      <c r="J877" s="3" t="s">
        <v>28</v>
      </c>
      <c r="K877" s="6">
        <v>5</v>
      </c>
      <c r="L877" s="6"/>
      <c r="M877" s="6">
        <f t="shared" si="88"/>
        <v>5</v>
      </c>
      <c r="N877" s="8">
        <v>19260</v>
      </c>
      <c r="O877" s="149"/>
    </row>
    <row r="878" spans="1:15" s="9" customFormat="1" ht="16.5" customHeight="1">
      <c r="A878" s="2">
        <v>57</v>
      </c>
      <c r="B878" s="3">
        <v>65</v>
      </c>
      <c r="C878" s="134">
        <v>816</v>
      </c>
      <c r="D878" s="3" t="s">
        <v>75</v>
      </c>
      <c r="E878" s="3"/>
      <c r="F878" s="4" t="s">
        <v>597</v>
      </c>
      <c r="G878" s="5" t="s">
        <v>598</v>
      </c>
      <c r="H878" s="4" t="s">
        <v>84</v>
      </c>
      <c r="I878" s="3" t="s">
        <v>2644</v>
      </c>
      <c r="J878" s="3" t="s">
        <v>28</v>
      </c>
      <c r="K878" s="6">
        <v>2</v>
      </c>
      <c r="L878" s="6"/>
      <c r="M878" s="6">
        <f t="shared" si="88"/>
        <v>2</v>
      </c>
      <c r="N878" s="8">
        <v>15600</v>
      </c>
      <c r="O878" s="149"/>
    </row>
    <row r="879" spans="1:15" s="9" customFormat="1">
      <c r="A879" s="2">
        <v>57</v>
      </c>
      <c r="B879" s="3">
        <v>66</v>
      </c>
      <c r="C879" s="3">
        <v>817</v>
      </c>
      <c r="D879" s="3" t="s">
        <v>75</v>
      </c>
      <c r="E879" s="3"/>
      <c r="F879" s="4"/>
      <c r="G879" s="5" t="s">
        <v>599</v>
      </c>
      <c r="H879" s="4" t="s">
        <v>600</v>
      </c>
      <c r="I879" s="3" t="s">
        <v>2645</v>
      </c>
      <c r="J879" s="3" t="s">
        <v>28</v>
      </c>
      <c r="K879" s="6">
        <v>20</v>
      </c>
      <c r="L879" s="6"/>
      <c r="M879" s="6">
        <f t="shared" si="88"/>
        <v>20</v>
      </c>
      <c r="N879" s="8" t="s">
        <v>2934</v>
      </c>
      <c r="O879" s="156"/>
    </row>
    <row r="880" spans="1:15" s="9" customFormat="1" ht="16.5" customHeight="1">
      <c r="A880" s="2">
        <v>57</v>
      </c>
      <c r="B880" s="3">
        <v>67</v>
      </c>
      <c r="C880" s="134">
        <v>818</v>
      </c>
      <c r="D880" s="3" t="s">
        <v>75</v>
      </c>
      <c r="E880" s="3"/>
      <c r="F880" s="4" t="s">
        <v>1830</v>
      </c>
      <c r="G880" s="5" t="s">
        <v>601</v>
      </c>
      <c r="H880" s="4" t="s">
        <v>602</v>
      </c>
      <c r="I880" s="3" t="s">
        <v>2624</v>
      </c>
      <c r="J880" s="3" t="s">
        <v>603</v>
      </c>
      <c r="K880" s="6">
        <v>6</v>
      </c>
      <c r="L880" s="6"/>
      <c r="M880" s="6">
        <f t="shared" si="88"/>
        <v>6</v>
      </c>
      <c r="N880" s="8">
        <f>2280*12</f>
        <v>27360</v>
      </c>
      <c r="O880" s="149" t="s">
        <v>2953</v>
      </c>
    </row>
    <row r="881" spans="1:15" s="9" customFormat="1" ht="16.5" customHeight="1">
      <c r="A881" s="2">
        <v>57</v>
      </c>
      <c r="B881" s="3">
        <v>68</v>
      </c>
      <c r="C881" s="3">
        <v>819</v>
      </c>
      <c r="D881" s="3" t="s">
        <v>75</v>
      </c>
      <c r="E881" s="3"/>
      <c r="F881" s="4" t="s">
        <v>604</v>
      </c>
      <c r="G881" s="5" t="s">
        <v>605</v>
      </c>
      <c r="H881" s="4" t="s">
        <v>606</v>
      </c>
      <c r="I881" s="3" t="s">
        <v>2623</v>
      </c>
      <c r="J881" s="3" t="s">
        <v>607</v>
      </c>
      <c r="K881" s="6">
        <v>2</v>
      </c>
      <c r="L881" s="6"/>
      <c r="M881" s="6">
        <f t="shared" si="88"/>
        <v>2</v>
      </c>
      <c r="N881" s="8">
        <f>36*3090</f>
        <v>111240</v>
      </c>
      <c r="O881" s="149" t="s">
        <v>2976</v>
      </c>
    </row>
    <row r="882" spans="1:15" s="9" customFormat="1" ht="16.5" customHeight="1">
      <c r="A882" s="2">
        <v>57</v>
      </c>
      <c r="B882" s="3">
        <v>69</v>
      </c>
      <c r="C882" s="134">
        <v>820</v>
      </c>
      <c r="D882" s="3" t="s">
        <v>75</v>
      </c>
      <c r="E882" s="3"/>
      <c r="F882" s="4" t="s">
        <v>608</v>
      </c>
      <c r="G882" s="5" t="s">
        <v>605</v>
      </c>
      <c r="H882" s="4" t="s">
        <v>609</v>
      </c>
      <c r="I882" s="3" t="s">
        <v>2624</v>
      </c>
      <c r="J882" s="3" t="s">
        <v>503</v>
      </c>
      <c r="K882" s="6">
        <v>2</v>
      </c>
      <c r="L882" s="6"/>
      <c r="M882" s="6">
        <f t="shared" si="88"/>
        <v>2</v>
      </c>
      <c r="N882" s="8">
        <f>12*4480</f>
        <v>53760</v>
      </c>
      <c r="O882" s="149" t="s">
        <v>2953</v>
      </c>
    </row>
    <row r="883" spans="1:15" s="9" customFormat="1" ht="16.5" customHeight="1">
      <c r="A883" s="2">
        <v>57</v>
      </c>
      <c r="B883" s="3">
        <v>70</v>
      </c>
      <c r="C883" s="3">
        <v>821</v>
      </c>
      <c r="D883" s="3"/>
      <c r="E883" s="3" t="s">
        <v>75</v>
      </c>
      <c r="F883" s="4" t="s">
        <v>1808</v>
      </c>
      <c r="G883" s="5" t="s">
        <v>1807</v>
      </c>
      <c r="H883" s="4" t="s">
        <v>1765</v>
      </c>
      <c r="I883" s="3" t="s">
        <v>2623</v>
      </c>
      <c r="J883" s="3" t="s">
        <v>85</v>
      </c>
      <c r="K883" s="6"/>
      <c r="L883" s="6">
        <v>12</v>
      </c>
      <c r="M883" s="6">
        <f t="shared" si="88"/>
        <v>12</v>
      </c>
      <c r="N883" s="8">
        <v>4480</v>
      </c>
      <c r="O883" s="149"/>
    </row>
    <row r="884" spans="1:15" s="9" customFormat="1" ht="16.5" customHeight="1">
      <c r="A884" s="2">
        <v>57</v>
      </c>
      <c r="B884" s="3">
        <v>71</v>
      </c>
      <c r="C884" s="134">
        <v>822</v>
      </c>
      <c r="D884" s="3"/>
      <c r="E884" s="3" t="s">
        <v>75</v>
      </c>
      <c r="F884" s="4" t="s">
        <v>1852</v>
      </c>
      <c r="G884" s="5" t="s">
        <v>1851</v>
      </c>
      <c r="H884" s="4" t="s">
        <v>1768</v>
      </c>
      <c r="I884" s="3" t="s">
        <v>2624</v>
      </c>
      <c r="J884" s="3" t="s">
        <v>85</v>
      </c>
      <c r="K884" s="6"/>
      <c r="L884" s="6">
        <v>12</v>
      </c>
      <c r="M884" s="6">
        <f t="shared" si="88"/>
        <v>12</v>
      </c>
      <c r="N884" s="8">
        <v>5270</v>
      </c>
      <c r="O884" s="149" t="s">
        <v>1850</v>
      </c>
    </row>
    <row r="885" spans="1:15" s="9" customFormat="1" ht="16.5" customHeight="1">
      <c r="A885" s="2">
        <v>57</v>
      </c>
      <c r="B885" s="3">
        <v>72</v>
      </c>
      <c r="C885" s="3">
        <v>823</v>
      </c>
      <c r="D885" s="3"/>
      <c r="E885" s="3" t="s">
        <v>75</v>
      </c>
      <c r="F885" s="4" t="s">
        <v>1849</v>
      </c>
      <c r="G885" s="5" t="s">
        <v>1848</v>
      </c>
      <c r="H885" s="4" t="s">
        <v>1765</v>
      </c>
      <c r="I885" s="3" t="s">
        <v>2624</v>
      </c>
      <c r="J885" s="3" t="s">
        <v>85</v>
      </c>
      <c r="K885" s="6"/>
      <c r="L885" s="6">
        <v>36</v>
      </c>
      <c r="M885" s="6">
        <f t="shared" si="88"/>
        <v>36</v>
      </c>
      <c r="N885" s="8">
        <v>5270</v>
      </c>
      <c r="O885" s="149" t="s">
        <v>63</v>
      </c>
    </row>
    <row r="886" spans="1:15" s="9" customFormat="1" ht="16.5" customHeight="1">
      <c r="A886" s="2">
        <v>57</v>
      </c>
      <c r="B886" s="3">
        <v>73</v>
      </c>
      <c r="C886" s="134">
        <v>824</v>
      </c>
      <c r="D886" s="3" t="s">
        <v>75</v>
      </c>
      <c r="E886" s="3"/>
      <c r="F886" s="4"/>
      <c r="G886" s="5" t="s">
        <v>610</v>
      </c>
      <c r="H886" s="4" t="s">
        <v>611</v>
      </c>
      <c r="I886" s="3" t="s">
        <v>2624</v>
      </c>
      <c r="J886" s="3" t="s">
        <v>503</v>
      </c>
      <c r="K886" s="6">
        <v>2</v>
      </c>
      <c r="L886" s="6"/>
      <c r="M886" s="6">
        <f t="shared" si="88"/>
        <v>2</v>
      </c>
      <c r="N886" s="8" t="s">
        <v>2934</v>
      </c>
      <c r="O886" s="149"/>
    </row>
    <row r="887" spans="1:15" s="9" customFormat="1" ht="16.5" customHeight="1">
      <c r="A887" s="2">
        <v>57</v>
      </c>
      <c r="B887" s="3">
        <v>74</v>
      </c>
      <c r="C887" s="3">
        <v>825</v>
      </c>
      <c r="D887" s="3"/>
      <c r="E887" s="3" t="s">
        <v>1845</v>
      </c>
      <c r="F887" s="4" t="s">
        <v>1844</v>
      </c>
      <c r="G887" s="5" t="s">
        <v>1843</v>
      </c>
      <c r="H887" s="4"/>
      <c r="I887" s="3" t="s">
        <v>2624</v>
      </c>
      <c r="J887" s="3" t="s">
        <v>85</v>
      </c>
      <c r="K887" s="6"/>
      <c r="L887" s="6">
        <v>1</v>
      </c>
      <c r="M887" s="6">
        <f t="shared" si="88"/>
        <v>1</v>
      </c>
      <c r="N887" s="8">
        <v>105800</v>
      </c>
      <c r="O887" s="149"/>
    </row>
    <row r="888" spans="1:15" s="9" customFormat="1" ht="16.5" customHeight="1">
      <c r="A888" s="2">
        <v>57</v>
      </c>
      <c r="B888" s="3">
        <v>75</v>
      </c>
      <c r="C888" s="134">
        <v>826</v>
      </c>
      <c r="D888" s="3" t="s">
        <v>75</v>
      </c>
      <c r="E888" s="3"/>
      <c r="F888" s="4" t="s">
        <v>2923</v>
      </c>
      <c r="G888" s="5" t="s">
        <v>612</v>
      </c>
      <c r="H888" s="4" t="s">
        <v>613</v>
      </c>
      <c r="I888" s="3" t="s">
        <v>2621</v>
      </c>
      <c r="J888" s="3" t="s">
        <v>85</v>
      </c>
      <c r="K888" s="6">
        <v>70</v>
      </c>
      <c r="L888" s="6"/>
      <c r="M888" s="6">
        <f t="shared" si="88"/>
        <v>70</v>
      </c>
      <c r="N888" s="8">
        <v>651640</v>
      </c>
      <c r="O888" s="149"/>
    </row>
    <row r="889" spans="1:15" s="9" customFormat="1" ht="16.5" customHeight="1">
      <c r="A889" s="2">
        <v>57</v>
      </c>
      <c r="B889" s="3">
        <v>76</v>
      </c>
      <c r="C889" s="3">
        <v>827</v>
      </c>
      <c r="D889" s="3" t="s">
        <v>75</v>
      </c>
      <c r="E889" s="3"/>
      <c r="F889" s="4"/>
      <c r="G889" s="5" t="s">
        <v>614</v>
      </c>
      <c r="H889" s="4" t="s">
        <v>615</v>
      </c>
      <c r="I889" s="3" t="s">
        <v>2646</v>
      </c>
      <c r="J889" s="3" t="s">
        <v>85</v>
      </c>
      <c r="K889" s="6">
        <v>2</v>
      </c>
      <c r="L889" s="6"/>
      <c r="M889" s="6">
        <f t="shared" si="88"/>
        <v>2</v>
      </c>
      <c r="N889" s="8" t="s">
        <v>2934</v>
      </c>
      <c r="O889" s="149"/>
    </row>
    <row r="890" spans="1:15" s="9" customFormat="1" ht="16.5" customHeight="1">
      <c r="A890" s="2">
        <v>57</v>
      </c>
      <c r="B890" s="3">
        <v>77</v>
      </c>
      <c r="C890" s="134">
        <v>828</v>
      </c>
      <c r="D890" s="3"/>
      <c r="E890" s="3" t="s">
        <v>75</v>
      </c>
      <c r="F890" s="4" t="s">
        <v>1835</v>
      </c>
      <c r="G890" s="5" t="s">
        <v>1834</v>
      </c>
      <c r="H890" s="4" t="s">
        <v>84</v>
      </c>
      <c r="I890" s="3" t="s">
        <v>2633</v>
      </c>
      <c r="J890" s="3" t="s">
        <v>85</v>
      </c>
      <c r="K890" s="6"/>
      <c r="L890" s="6">
        <v>100</v>
      </c>
      <c r="M890" s="6">
        <f t="shared" si="88"/>
        <v>100</v>
      </c>
      <c r="N890" s="8">
        <v>4220</v>
      </c>
      <c r="O890" s="149"/>
    </row>
    <row r="891" spans="1:15" s="9" customFormat="1" ht="16.5" customHeight="1">
      <c r="A891" s="2">
        <v>57</v>
      </c>
      <c r="B891" s="3">
        <v>78</v>
      </c>
      <c r="C891" s="3">
        <v>829</v>
      </c>
      <c r="D891" s="3"/>
      <c r="E891" s="3" t="s">
        <v>75</v>
      </c>
      <c r="F891" s="4" t="s">
        <v>1833</v>
      </c>
      <c r="G891" s="5" t="s">
        <v>1832</v>
      </c>
      <c r="H891" s="4" t="s">
        <v>84</v>
      </c>
      <c r="I891" s="3" t="s">
        <v>2647</v>
      </c>
      <c r="J891" s="3" t="s">
        <v>85</v>
      </c>
      <c r="K891" s="6"/>
      <c r="L891" s="6">
        <v>10</v>
      </c>
      <c r="M891" s="6">
        <f t="shared" si="88"/>
        <v>10</v>
      </c>
      <c r="N891" s="8">
        <v>4480</v>
      </c>
      <c r="O891" s="149"/>
    </row>
    <row r="892" spans="1:15" s="9" customFormat="1" ht="16.5" customHeight="1">
      <c r="A892" s="2">
        <v>57</v>
      </c>
      <c r="B892" s="3">
        <v>79</v>
      </c>
      <c r="C892" s="134">
        <v>830</v>
      </c>
      <c r="D892" s="3"/>
      <c r="E892" s="3" t="s">
        <v>488</v>
      </c>
      <c r="F892" s="4" t="s">
        <v>1787</v>
      </c>
      <c r="G892" s="5" t="s">
        <v>1786</v>
      </c>
      <c r="H892" s="4" t="s">
        <v>84</v>
      </c>
      <c r="I892" s="3" t="s">
        <v>2648</v>
      </c>
      <c r="J892" s="3" t="s">
        <v>85</v>
      </c>
      <c r="K892" s="6"/>
      <c r="L892" s="6">
        <v>30</v>
      </c>
      <c r="M892" s="6">
        <f t="shared" si="88"/>
        <v>30</v>
      </c>
      <c r="N892" s="8" t="s">
        <v>1700</v>
      </c>
      <c r="O892" s="149"/>
    </row>
    <row r="893" spans="1:15" s="9" customFormat="1" ht="16.5" customHeight="1">
      <c r="A893" s="2">
        <v>57</v>
      </c>
      <c r="B893" s="3">
        <v>80</v>
      </c>
      <c r="C893" s="3">
        <v>831</v>
      </c>
      <c r="D893" s="3"/>
      <c r="E893" s="3" t="s">
        <v>488</v>
      </c>
      <c r="F893" s="4" t="s">
        <v>1789</v>
      </c>
      <c r="G893" s="5" t="s">
        <v>1788</v>
      </c>
      <c r="H893" s="4" t="s">
        <v>84</v>
      </c>
      <c r="I893" s="3" t="s">
        <v>2649</v>
      </c>
      <c r="J893" s="3" t="s">
        <v>85</v>
      </c>
      <c r="K893" s="6"/>
      <c r="L893" s="6">
        <v>120</v>
      </c>
      <c r="M893" s="6">
        <f t="shared" si="88"/>
        <v>120</v>
      </c>
      <c r="N893" s="8">
        <v>6240</v>
      </c>
      <c r="O893" s="149"/>
    </row>
    <row r="894" spans="1:15" s="9" customFormat="1" ht="16.5" customHeight="1">
      <c r="A894" s="2">
        <v>57</v>
      </c>
      <c r="B894" s="3">
        <v>81</v>
      </c>
      <c r="C894" s="134">
        <v>832</v>
      </c>
      <c r="D894" s="3"/>
      <c r="E894" s="3" t="s">
        <v>488</v>
      </c>
      <c r="F894" s="4"/>
      <c r="G894" s="5" t="s">
        <v>1791</v>
      </c>
      <c r="H894" s="4" t="s">
        <v>1790</v>
      </c>
      <c r="I894" s="3"/>
      <c r="J894" s="3" t="s">
        <v>206</v>
      </c>
      <c r="K894" s="6"/>
      <c r="L894" s="6">
        <v>5</v>
      </c>
      <c r="M894" s="6">
        <f t="shared" si="88"/>
        <v>5</v>
      </c>
      <c r="N894" s="8" t="s">
        <v>1700</v>
      </c>
      <c r="O894" s="149"/>
    </row>
    <row r="895" spans="1:15" s="9" customFormat="1" ht="16.5" customHeight="1">
      <c r="A895" s="2">
        <v>57</v>
      </c>
      <c r="B895" s="3">
        <v>82</v>
      </c>
      <c r="C895" s="3">
        <v>833</v>
      </c>
      <c r="D895" s="3"/>
      <c r="E895" s="3" t="s">
        <v>1829</v>
      </c>
      <c r="F895" s="4"/>
      <c r="G895" s="5" t="s">
        <v>1828</v>
      </c>
      <c r="H895" s="4" t="s">
        <v>84</v>
      </c>
      <c r="I895" s="3" t="s">
        <v>2650</v>
      </c>
      <c r="J895" s="3" t="s">
        <v>85</v>
      </c>
      <c r="K895" s="6"/>
      <c r="L895" s="6">
        <v>6</v>
      </c>
      <c r="M895" s="6">
        <f t="shared" si="88"/>
        <v>6</v>
      </c>
      <c r="N895" s="8" t="s">
        <v>1700</v>
      </c>
      <c r="O895" s="149"/>
    </row>
    <row r="896" spans="1:15" s="9" customFormat="1" ht="16.5" customHeight="1">
      <c r="A896" s="2">
        <v>57</v>
      </c>
      <c r="B896" s="3">
        <v>83</v>
      </c>
      <c r="C896" s="134">
        <v>834</v>
      </c>
      <c r="D896" s="3"/>
      <c r="E896" s="3" t="s">
        <v>1837</v>
      </c>
      <c r="F896" s="4"/>
      <c r="G896" s="5" t="s">
        <v>1836</v>
      </c>
      <c r="H896" s="4" t="s">
        <v>554</v>
      </c>
      <c r="I896" s="3" t="s">
        <v>2637</v>
      </c>
      <c r="J896" s="3" t="s">
        <v>85</v>
      </c>
      <c r="K896" s="6"/>
      <c r="L896" s="6">
        <v>5</v>
      </c>
      <c r="M896" s="6">
        <f t="shared" si="88"/>
        <v>5</v>
      </c>
      <c r="N896" s="8" t="s">
        <v>1700</v>
      </c>
      <c r="O896" s="149"/>
    </row>
    <row r="897" spans="1:15" s="9" customFormat="1" ht="16.5" customHeight="1">
      <c r="A897" s="2">
        <v>57</v>
      </c>
      <c r="B897" s="3">
        <v>84</v>
      </c>
      <c r="C897" s="3">
        <v>835</v>
      </c>
      <c r="D897" s="3"/>
      <c r="E897" s="3" t="s">
        <v>75</v>
      </c>
      <c r="F897" s="4"/>
      <c r="G897" s="5" t="s">
        <v>1842</v>
      </c>
      <c r="H897" s="4" t="s">
        <v>85</v>
      </c>
      <c r="I897" s="3" t="s">
        <v>2648</v>
      </c>
      <c r="J897" s="3" t="s">
        <v>85</v>
      </c>
      <c r="K897" s="6"/>
      <c r="L897" s="6">
        <v>10</v>
      </c>
      <c r="M897" s="6">
        <f t="shared" si="88"/>
        <v>10</v>
      </c>
      <c r="N897" s="8" t="s">
        <v>1700</v>
      </c>
      <c r="O897" s="149"/>
    </row>
    <row r="898" spans="1:15" s="9" customFormat="1" ht="16.5" customHeight="1">
      <c r="A898" s="2">
        <v>57</v>
      </c>
      <c r="B898" s="3">
        <v>85</v>
      </c>
      <c r="C898" s="134">
        <v>836</v>
      </c>
      <c r="D898" s="3"/>
      <c r="E898" s="3" t="s">
        <v>75</v>
      </c>
      <c r="F898" s="4"/>
      <c r="G898" s="5" t="s">
        <v>1841</v>
      </c>
      <c r="H898" s="4" t="s">
        <v>1840</v>
      </c>
      <c r="I898" s="3" t="s">
        <v>2620</v>
      </c>
      <c r="J898" s="3" t="s">
        <v>85</v>
      </c>
      <c r="K898" s="6"/>
      <c r="L898" s="6">
        <v>6</v>
      </c>
      <c r="M898" s="6">
        <f t="shared" si="88"/>
        <v>6</v>
      </c>
      <c r="N898" s="8" t="s">
        <v>1700</v>
      </c>
      <c r="O898" s="149"/>
    </row>
    <row r="899" spans="1:15" s="9" customFormat="1" ht="16.5" customHeight="1">
      <c r="A899" s="2">
        <v>57</v>
      </c>
      <c r="B899" s="3">
        <v>86</v>
      </c>
      <c r="C899" s="3">
        <v>837</v>
      </c>
      <c r="D899" s="3"/>
      <c r="E899" s="3" t="s">
        <v>75</v>
      </c>
      <c r="F899" s="4"/>
      <c r="G899" s="5" t="s">
        <v>1847</v>
      </c>
      <c r="H899" s="4" t="s">
        <v>1846</v>
      </c>
      <c r="I899" s="3" t="s">
        <v>2651</v>
      </c>
      <c r="J899" s="3" t="s">
        <v>85</v>
      </c>
      <c r="K899" s="6"/>
      <c r="L899" s="6">
        <v>1</v>
      </c>
      <c r="M899" s="6">
        <f t="shared" si="88"/>
        <v>1</v>
      </c>
      <c r="N899" s="8" t="s">
        <v>1700</v>
      </c>
      <c r="O899" s="149"/>
    </row>
    <row r="900" spans="1:15" s="9" customFormat="1" ht="16.5" customHeight="1">
      <c r="A900" s="2">
        <v>57</v>
      </c>
      <c r="B900" s="3">
        <v>87</v>
      </c>
      <c r="C900" s="134">
        <v>838</v>
      </c>
      <c r="D900" s="3" t="s">
        <v>75</v>
      </c>
      <c r="E900" s="3"/>
      <c r="F900" s="4" t="s">
        <v>616</v>
      </c>
      <c r="G900" s="5" t="s">
        <v>617</v>
      </c>
      <c r="H900" s="4">
        <v>505225900</v>
      </c>
      <c r="I900" s="3" t="s">
        <v>2620</v>
      </c>
      <c r="J900" s="3" t="s">
        <v>28</v>
      </c>
      <c r="K900" s="6">
        <v>3</v>
      </c>
      <c r="L900" s="6"/>
      <c r="M900" s="6">
        <f t="shared" si="88"/>
        <v>3</v>
      </c>
      <c r="N900" s="8">
        <v>183790</v>
      </c>
      <c r="O900" s="149"/>
    </row>
    <row r="901" spans="1:15" s="9" customFormat="1" ht="16.5" customHeight="1">
      <c r="A901" s="2">
        <v>57</v>
      </c>
      <c r="B901" s="3">
        <v>88</v>
      </c>
      <c r="C901" s="3">
        <v>839</v>
      </c>
      <c r="D901" s="3" t="s">
        <v>75</v>
      </c>
      <c r="E901" s="3"/>
      <c r="F901" s="4" t="s">
        <v>618</v>
      </c>
      <c r="G901" s="5" t="s">
        <v>619</v>
      </c>
      <c r="H901" s="4" t="s">
        <v>620</v>
      </c>
      <c r="I901" s="3" t="s">
        <v>2628</v>
      </c>
      <c r="J901" s="3" t="s">
        <v>603</v>
      </c>
      <c r="K901" s="6">
        <v>3</v>
      </c>
      <c r="L901" s="6"/>
      <c r="M901" s="6">
        <f t="shared" si="88"/>
        <v>3</v>
      </c>
      <c r="N901" s="8">
        <f>11090*12</f>
        <v>133080</v>
      </c>
      <c r="O901" s="149" t="s">
        <v>2953</v>
      </c>
    </row>
    <row r="902" spans="1:15" s="9" customFormat="1" ht="16.5" customHeight="1">
      <c r="A902" s="2">
        <v>57</v>
      </c>
      <c r="B902" s="3">
        <v>89</v>
      </c>
      <c r="C902" s="134">
        <v>840</v>
      </c>
      <c r="D902" s="3"/>
      <c r="E902" s="3" t="s">
        <v>1794</v>
      </c>
      <c r="F902" s="4" t="s">
        <v>1818</v>
      </c>
      <c r="G902" s="5" t="s">
        <v>1817</v>
      </c>
      <c r="H902" s="4" t="s">
        <v>1816</v>
      </c>
      <c r="I902" s="3" t="s">
        <v>2625</v>
      </c>
      <c r="J902" s="3" t="s">
        <v>85</v>
      </c>
      <c r="K902" s="6"/>
      <c r="L902" s="6">
        <v>36</v>
      </c>
      <c r="M902" s="6">
        <f t="shared" si="88"/>
        <v>36</v>
      </c>
      <c r="N902" s="8">
        <v>11090</v>
      </c>
      <c r="O902" s="149"/>
    </row>
    <row r="903" spans="1:15" s="9" customFormat="1" ht="16.5" customHeight="1">
      <c r="A903" s="2">
        <v>57</v>
      </c>
      <c r="B903" s="3">
        <v>90</v>
      </c>
      <c r="C903" s="3">
        <v>841</v>
      </c>
      <c r="D903" s="3" t="s">
        <v>75</v>
      </c>
      <c r="E903" s="3"/>
      <c r="F903" s="4"/>
      <c r="G903" s="5" t="s">
        <v>621</v>
      </c>
      <c r="H903" s="4" t="s">
        <v>622</v>
      </c>
      <c r="I903" s="3" t="s">
        <v>2652</v>
      </c>
      <c r="J903" s="3" t="s">
        <v>28</v>
      </c>
      <c r="K903" s="6">
        <v>3</v>
      </c>
      <c r="L903" s="6"/>
      <c r="M903" s="6">
        <f t="shared" si="88"/>
        <v>3</v>
      </c>
      <c r="N903" s="8" t="s">
        <v>2934</v>
      </c>
      <c r="O903" s="149"/>
    </row>
    <row r="904" spans="1:15" s="9" customFormat="1" ht="16.5" customHeight="1">
      <c r="A904" s="2">
        <v>57</v>
      </c>
      <c r="B904" s="3">
        <v>91</v>
      </c>
      <c r="C904" s="134">
        <v>842</v>
      </c>
      <c r="D904" s="3" t="s">
        <v>75</v>
      </c>
      <c r="E904" s="3"/>
      <c r="F904" s="4"/>
      <c r="G904" s="5" t="s">
        <v>623</v>
      </c>
      <c r="H904" s="4" t="s">
        <v>624</v>
      </c>
      <c r="I904" s="3" t="s">
        <v>2637</v>
      </c>
      <c r="J904" s="3" t="s">
        <v>28</v>
      </c>
      <c r="K904" s="6">
        <v>10</v>
      </c>
      <c r="L904" s="6"/>
      <c r="M904" s="6">
        <f t="shared" si="88"/>
        <v>10</v>
      </c>
      <c r="N904" s="8" t="s">
        <v>2934</v>
      </c>
      <c r="O904" s="149"/>
    </row>
    <row r="905" spans="1:15" s="9" customFormat="1" ht="16.5" customHeight="1">
      <c r="A905" s="2">
        <v>57</v>
      </c>
      <c r="B905" s="3">
        <v>92</v>
      </c>
      <c r="C905" s="3">
        <v>843</v>
      </c>
      <c r="D905" s="3" t="s">
        <v>75</v>
      </c>
      <c r="E905" s="3"/>
      <c r="F905" s="4"/>
      <c r="G905" s="5" t="s">
        <v>625</v>
      </c>
      <c r="H905" s="4">
        <v>25.500139999999998</v>
      </c>
      <c r="I905" s="3" t="s">
        <v>2637</v>
      </c>
      <c r="J905" s="3" t="s">
        <v>28</v>
      </c>
      <c r="K905" s="6">
        <v>2</v>
      </c>
      <c r="L905" s="6"/>
      <c r="M905" s="6">
        <f t="shared" si="88"/>
        <v>2</v>
      </c>
      <c r="N905" s="8" t="s">
        <v>2934</v>
      </c>
      <c r="O905" s="149"/>
    </row>
    <row r="906" spans="1:15" s="9" customFormat="1" ht="16.5" customHeight="1">
      <c r="A906" s="2">
        <v>57</v>
      </c>
      <c r="B906" s="3">
        <v>93</v>
      </c>
      <c r="C906" s="134">
        <v>844</v>
      </c>
      <c r="D906" s="3" t="s">
        <v>626</v>
      </c>
      <c r="E906" s="3"/>
      <c r="F906" s="4" t="s">
        <v>1870</v>
      </c>
      <c r="G906" s="5" t="s">
        <v>627</v>
      </c>
      <c r="H906" s="4" t="s">
        <v>628</v>
      </c>
      <c r="I906" s="3" t="s">
        <v>2653</v>
      </c>
      <c r="J906" s="3" t="s">
        <v>28</v>
      </c>
      <c r="K906" s="6">
        <v>1000</v>
      </c>
      <c r="L906" s="6">
        <v>10</v>
      </c>
      <c r="M906" s="6">
        <f t="shared" ref="M906:M913" si="89">K906+L906</f>
        <v>1010</v>
      </c>
      <c r="N906" s="8">
        <v>1120</v>
      </c>
      <c r="O906" s="149"/>
    </row>
    <row r="907" spans="1:15" s="9" customFormat="1" ht="16.5" customHeight="1">
      <c r="A907" s="2">
        <v>57</v>
      </c>
      <c r="B907" s="3">
        <v>94</v>
      </c>
      <c r="C907" s="3">
        <v>845</v>
      </c>
      <c r="D907" s="3"/>
      <c r="E907" s="3" t="s">
        <v>488</v>
      </c>
      <c r="F907" s="4" t="s">
        <v>1858</v>
      </c>
      <c r="G907" s="5" t="s">
        <v>1857</v>
      </c>
      <c r="H907" s="4" t="s">
        <v>84</v>
      </c>
      <c r="I907" s="3" t="s">
        <v>2653</v>
      </c>
      <c r="J907" s="3" t="s">
        <v>85</v>
      </c>
      <c r="K907" s="6"/>
      <c r="L907" s="6">
        <v>180</v>
      </c>
      <c r="M907" s="6">
        <f t="shared" si="89"/>
        <v>180</v>
      </c>
      <c r="N907" s="8">
        <v>438</v>
      </c>
      <c r="O907" s="149"/>
    </row>
    <row r="908" spans="1:15" s="9" customFormat="1" ht="16.5" customHeight="1">
      <c r="A908" s="2">
        <v>57</v>
      </c>
      <c r="B908" s="3">
        <v>95</v>
      </c>
      <c r="C908" s="134">
        <v>846</v>
      </c>
      <c r="D908" s="3"/>
      <c r="E908" s="3" t="s">
        <v>488</v>
      </c>
      <c r="F908" s="4" t="s">
        <v>1856</v>
      </c>
      <c r="G908" s="5" t="s">
        <v>1855</v>
      </c>
      <c r="H908" s="4" t="s">
        <v>84</v>
      </c>
      <c r="I908" s="3" t="s">
        <v>2654</v>
      </c>
      <c r="J908" s="3" t="s">
        <v>85</v>
      </c>
      <c r="K908" s="6"/>
      <c r="L908" s="6">
        <v>40</v>
      </c>
      <c r="M908" s="6">
        <f t="shared" si="89"/>
        <v>40</v>
      </c>
      <c r="N908" s="8">
        <v>38330</v>
      </c>
      <c r="O908" s="149"/>
    </row>
    <row r="909" spans="1:15" s="9" customFormat="1" ht="16.5" customHeight="1">
      <c r="A909" s="42"/>
      <c r="B909" s="14"/>
      <c r="C909" s="14"/>
      <c r="D909" s="14"/>
      <c r="E909" s="14"/>
      <c r="F909" s="15"/>
      <c r="G909" s="16"/>
      <c r="H909" s="15"/>
      <c r="I909" s="15"/>
      <c r="J909" s="14"/>
      <c r="K909" s="157">
        <f>SUM(K814:K908)</f>
        <v>2770</v>
      </c>
      <c r="L909" s="157">
        <f t="shared" ref="L909:M909" si="90">SUM(L814:L908)</f>
        <v>1893</v>
      </c>
      <c r="M909" s="157">
        <f t="shared" si="90"/>
        <v>4663</v>
      </c>
      <c r="N909" s="17"/>
      <c r="O909" s="145"/>
    </row>
    <row r="910" spans="1:15" s="9" customFormat="1" ht="16.5" customHeight="1">
      <c r="A910" s="2">
        <v>58</v>
      </c>
      <c r="B910" s="3">
        <v>1</v>
      </c>
      <c r="C910" s="3">
        <v>847</v>
      </c>
      <c r="D910" s="3" t="s">
        <v>474</v>
      </c>
      <c r="E910" s="3"/>
      <c r="F910" s="4"/>
      <c r="G910" s="5" t="s">
        <v>794</v>
      </c>
      <c r="H910" s="4" t="s">
        <v>795</v>
      </c>
      <c r="I910" s="3" t="s">
        <v>2713</v>
      </c>
      <c r="J910" s="3" t="s">
        <v>79</v>
      </c>
      <c r="K910" s="6">
        <v>100</v>
      </c>
      <c r="L910" s="6"/>
      <c r="M910" s="6">
        <f t="shared" si="89"/>
        <v>100</v>
      </c>
      <c r="N910" s="8" t="s">
        <v>2934</v>
      </c>
      <c r="O910" s="149"/>
    </row>
    <row r="911" spans="1:15" s="9" customFormat="1" ht="16.5" customHeight="1">
      <c r="A911" s="2">
        <v>58</v>
      </c>
      <c r="B911" s="3">
        <v>2</v>
      </c>
      <c r="C911" s="3">
        <v>848</v>
      </c>
      <c r="D911" s="3" t="s">
        <v>474</v>
      </c>
      <c r="E911" s="3"/>
      <c r="F911" s="4" t="s">
        <v>796</v>
      </c>
      <c r="G911" s="5" t="s">
        <v>797</v>
      </c>
      <c r="H911" s="4" t="s">
        <v>84</v>
      </c>
      <c r="I911" s="3" t="s">
        <v>2713</v>
      </c>
      <c r="J911" s="3" t="s">
        <v>79</v>
      </c>
      <c r="K911" s="6">
        <v>150</v>
      </c>
      <c r="L911" s="6"/>
      <c r="M911" s="6">
        <f t="shared" si="89"/>
        <v>150</v>
      </c>
      <c r="N911" s="8">
        <v>87290</v>
      </c>
      <c r="O911" s="149"/>
    </row>
    <row r="912" spans="1:15" s="9" customFormat="1" ht="16.5" customHeight="1">
      <c r="A912" s="2">
        <v>58</v>
      </c>
      <c r="B912" s="3">
        <v>3</v>
      </c>
      <c r="C912" s="3">
        <v>849</v>
      </c>
      <c r="D912" s="3" t="s">
        <v>474</v>
      </c>
      <c r="E912" s="3"/>
      <c r="F912" s="4"/>
      <c r="G912" s="5" t="s">
        <v>798</v>
      </c>
      <c r="H912" s="4" t="s">
        <v>799</v>
      </c>
      <c r="I912" s="3" t="s">
        <v>2713</v>
      </c>
      <c r="J912" s="3" t="s">
        <v>79</v>
      </c>
      <c r="K912" s="6">
        <v>30</v>
      </c>
      <c r="L912" s="6"/>
      <c r="M912" s="6">
        <f t="shared" si="89"/>
        <v>30</v>
      </c>
      <c r="N912" s="8" t="s">
        <v>2934</v>
      </c>
      <c r="O912" s="149"/>
    </row>
    <row r="913" spans="1:15" s="9" customFormat="1" ht="16.5" customHeight="1">
      <c r="A913" s="2">
        <v>58</v>
      </c>
      <c r="B913" s="3">
        <v>4</v>
      </c>
      <c r="C913" s="3">
        <v>850</v>
      </c>
      <c r="D913" s="3" t="s">
        <v>474</v>
      </c>
      <c r="E913" s="3"/>
      <c r="F913" s="4"/>
      <c r="G913" s="5" t="s">
        <v>798</v>
      </c>
      <c r="H913" s="4" t="s">
        <v>800</v>
      </c>
      <c r="I913" s="3" t="s">
        <v>2713</v>
      </c>
      <c r="J913" s="3" t="s">
        <v>79</v>
      </c>
      <c r="K913" s="6">
        <v>30</v>
      </c>
      <c r="L913" s="6"/>
      <c r="M913" s="6">
        <f t="shared" si="89"/>
        <v>30</v>
      </c>
      <c r="N913" s="8" t="s">
        <v>2934</v>
      </c>
      <c r="O913" s="149"/>
    </row>
    <row r="914" spans="1:15" s="9" customFormat="1" ht="16.5" customHeight="1">
      <c r="A914" s="2">
        <v>58</v>
      </c>
      <c r="B914" s="3">
        <v>5</v>
      </c>
      <c r="C914" s="3">
        <v>851</v>
      </c>
      <c r="D914" s="3" t="s">
        <v>474</v>
      </c>
      <c r="E914" s="3"/>
      <c r="F914" s="4"/>
      <c r="G914" s="5" t="s">
        <v>801</v>
      </c>
      <c r="H914" s="4" t="s">
        <v>802</v>
      </c>
      <c r="I914" s="3" t="s">
        <v>2713</v>
      </c>
      <c r="J914" s="3" t="s">
        <v>79</v>
      </c>
      <c r="K914" s="6">
        <v>5</v>
      </c>
      <c r="L914" s="6"/>
      <c r="M914" s="6">
        <f t="shared" ref="M914:M977" si="91">K914+L914</f>
        <v>5</v>
      </c>
      <c r="N914" s="8" t="s">
        <v>2934</v>
      </c>
      <c r="O914" s="149"/>
    </row>
    <row r="915" spans="1:15" s="9" customFormat="1" ht="16.5" customHeight="1">
      <c r="A915" s="2">
        <v>58</v>
      </c>
      <c r="B915" s="3">
        <v>6</v>
      </c>
      <c r="C915" s="3">
        <v>852</v>
      </c>
      <c r="D915" s="3" t="s">
        <v>474</v>
      </c>
      <c r="E915" s="3"/>
      <c r="F915" s="4" t="s">
        <v>803</v>
      </c>
      <c r="G915" s="5" t="s">
        <v>804</v>
      </c>
      <c r="H915" s="4" t="s">
        <v>805</v>
      </c>
      <c r="I915" s="3" t="s">
        <v>2714</v>
      </c>
      <c r="J915" s="3" t="s">
        <v>807</v>
      </c>
      <c r="K915" s="6">
        <v>30</v>
      </c>
      <c r="L915" s="6"/>
      <c r="M915" s="6">
        <f t="shared" si="91"/>
        <v>30</v>
      </c>
      <c r="N915" s="8">
        <v>15720</v>
      </c>
      <c r="O915" s="149" t="s">
        <v>2953</v>
      </c>
    </row>
    <row r="916" spans="1:15" s="9" customFormat="1" ht="16.5" customHeight="1">
      <c r="A916" s="2">
        <v>58</v>
      </c>
      <c r="B916" s="3">
        <v>7</v>
      </c>
      <c r="C916" s="3">
        <v>853</v>
      </c>
      <c r="D916" s="3" t="s">
        <v>474</v>
      </c>
      <c r="E916" s="3"/>
      <c r="F916" s="4" t="s">
        <v>808</v>
      </c>
      <c r="G916" s="5" t="s">
        <v>809</v>
      </c>
      <c r="H916" s="4" t="s">
        <v>810</v>
      </c>
      <c r="I916" s="3" t="s">
        <v>2714</v>
      </c>
      <c r="J916" s="3" t="s">
        <v>807</v>
      </c>
      <c r="K916" s="6">
        <v>100</v>
      </c>
      <c r="L916" s="6"/>
      <c r="M916" s="6">
        <f t="shared" si="91"/>
        <v>100</v>
      </c>
      <c r="N916" s="8">
        <v>18000</v>
      </c>
      <c r="O916" s="149" t="s">
        <v>2953</v>
      </c>
    </row>
    <row r="917" spans="1:15" s="9" customFormat="1" ht="16.5" customHeight="1">
      <c r="A917" s="2">
        <v>58</v>
      </c>
      <c r="B917" s="3">
        <v>8</v>
      </c>
      <c r="C917" s="3">
        <v>854</v>
      </c>
      <c r="D917" s="3" t="s">
        <v>474</v>
      </c>
      <c r="E917" s="3"/>
      <c r="F917" s="4" t="s">
        <v>808</v>
      </c>
      <c r="G917" s="5" t="s">
        <v>809</v>
      </c>
      <c r="H917" s="4" t="s">
        <v>811</v>
      </c>
      <c r="I917" s="3" t="s">
        <v>2715</v>
      </c>
      <c r="J917" s="3" t="s">
        <v>807</v>
      </c>
      <c r="K917" s="6">
        <v>50</v>
      </c>
      <c r="L917" s="6"/>
      <c r="M917" s="6">
        <f t="shared" si="91"/>
        <v>50</v>
      </c>
      <c r="N917" s="8">
        <v>18000</v>
      </c>
      <c r="O917" s="149" t="s">
        <v>2953</v>
      </c>
    </row>
    <row r="918" spans="1:15" s="9" customFormat="1" ht="16.5" customHeight="1">
      <c r="A918" s="2">
        <v>58</v>
      </c>
      <c r="B918" s="3">
        <v>9</v>
      </c>
      <c r="C918" s="3">
        <v>855</v>
      </c>
      <c r="D918" s="3"/>
      <c r="E918" s="3" t="s">
        <v>1946</v>
      </c>
      <c r="F918" s="4" t="s">
        <v>1968</v>
      </c>
      <c r="G918" s="5" t="s">
        <v>1967</v>
      </c>
      <c r="H918" s="4" t="s">
        <v>1965</v>
      </c>
      <c r="I918" s="3" t="s">
        <v>2714</v>
      </c>
      <c r="J918" s="3" t="s">
        <v>85</v>
      </c>
      <c r="K918" s="6"/>
      <c r="L918" s="6">
        <v>12</v>
      </c>
      <c r="M918" s="6">
        <f t="shared" si="91"/>
        <v>12</v>
      </c>
      <c r="N918" s="8">
        <v>185710</v>
      </c>
      <c r="O918" s="149"/>
    </row>
    <row r="919" spans="1:15" s="9" customFormat="1" ht="16.5" customHeight="1">
      <c r="A919" s="2">
        <v>58</v>
      </c>
      <c r="B919" s="3">
        <v>10</v>
      </c>
      <c r="C919" s="3">
        <v>856</v>
      </c>
      <c r="D919" s="3"/>
      <c r="E919" s="3" t="s">
        <v>1779</v>
      </c>
      <c r="F919" s="4" t="s">
        <v>1952</v>
      </c>
      <c r="G919" s="5" t="s">
        <v>1966</v>
      </c>
      <c r="H919" s="4" t="s">
        <v>1965</v>
      </c>
      <c r="I919" s="3" t="s">
        <v>2716</v>
      </c>
      <c r="J919" s="3" t="s">
        <v>85</v>
      </c>
      <c r="K919" s="6"/>
      <c r="L919" s="6">
        <v>12</v>
      </c>
      <c r="M919" s="6">
        <f t="shared" si="91"/>
        <v>12</v>
      </c>
      <c r="N919" s="8">
        <v>137680</v>
      </c>
      <c r="O919" s="149"/>
    </row>
    <row r="920" spans="1:15" s="9" customFormat="1" ht="16.5" customHeight="1">
      <c r="A920" s="2">
        <v>58</v>
      </c>
      <c r="B920" s="3">
        <v>11</v>
      </c>
      <c r="C920" s="3">
        <v>857</v>
      </c>
      <c r="D920" s="3"/>
      <c r="E920" s="3" t="s">
        <v>1946</v>
      </c>
      <c r="F920" s="4" t="s">
        <v>1964</v>
      </c>
      <c r="G920" s="5" t="s">
        <v>1963</v>
      </c>
      <c r="H920" s="4" t="s">
        <v>1962</v>
      </c>
      <c r="I920" s="3" t="s">
        <v>2715</v>
      </c>
      <c r="J920" s="3" t="s">
        <v>85</v>
      </c>
      <c r="K920" s="6"/>
      <c r="L920" s="6">
        <v>10</v>
      </c>
      <c r="M920" s="6">
        <f t="shared" si="91"/>
        <v>10</v>
      </c>
      <c r="N920" s="8">
        <v>363020</v>
      </c>
      <c r="O920" s="149"/>
    </row>
    <row r="921" spans="1:15" s="9" customFormat="1" ht="16.5" customHeight="1">
      <c r="A921" s="2">
        <v>58</v>
      </c>
      <c r="B921" s="3">
        <v>12</v>
      </c>
      <c r="C921" s="3">
        <v>858</v>
      </c>
      <c r="D921" s="3"/>
      <c r="E921" s="3" t="s">
        <v>1779</v>
      </c>
      <c r="F921" s="4" t="s">
        <v>1961</v>
      </c>
      <c r="G921" s="5" t="s">
        <v>1960</v>
      </c>
      <c r="H921" s="4" t="s">
        <v>1959</v>
      </c>
      <c r="I921" s="3" t="s">
        <v>2714</v>
      </c>
      <c r="J921" s="3" t="s">
        <v>85</v>
      </c>
      <c r="K921" s="6"/>
      <c r="L921" s="6">
        <v>1</v>
      </c>
      <c r="M921" s="6">
        <f t="shared" si="91"/>
        <v>1</v>
      </c>
      <c r="N921" s="8">
        <v>193380</v>
      </c>
      <c r="O921" s="149"/>
    </row>
    <row r="922" spans="1:15" s="9" customFormat="1" ht="16.5" customHeight="1">
      <c r="A922" s="2">
        <v>58</v>
      </c>
      <c r="B922" s="3">
        <v>13</v>
      </c>
      <c r="C922" s="3">
        <v>859</v>
      </c>
      <c r="D922" s="3"/>
      <c r="E922" s="3" t="s">
        <v>1779</v>
      </c>
      <c r="F922" s="4" t="s">
        <v>1958</v>
      </c>
      <c r="G922" s="5" t="s">
        <v>1957</v>
      </c>
      <c r="H922" s="4" t="s">
        <v>1956</v>
      </c>
      <c r="I922" s="3" t="s">
        <v>2714</v>
      </c>
      <c r="J922" s="3" t="s">
        <v>85</v>
      </c>
      <c r="K922" s="6"/>
      <c r="L922" s="6">
        <v>5</v>
      </c>
      <c r="M922" s="6">
        <f t="shared" si="91"/>
        <v>5</v>
      </c>
      <c r="N922" s="8">
        <v>264010</v>
      </c>
      <c r="O922" s="149"/>
    </row>
    <row r="923" spans="1:15" s="9" customFormat="1" ht="16.5" customHeight="1">
      <c r="A923" s="2">
        <v>58</v>
      </c>
      <c r="B923" s="3">
        <v>14</v>
      </c>
      <c r="C923" s="3">
        <v>860</v>
      </c>
      <c r="D923" s="3"/>
      <c r="E923" s="3" t="s">
        <v>1946</v>
      </c>
      <c r="F923" s="4" t="s">
        <v>1955</v>
      </c>
      <c r="G923" s="5" t="s">
        <v>1954</v>
      </c>
      <c r="H923" s="4" t="s">
        <v>1953</v>
      </c>
      <c r="I923" s="3" t="s">
        <v>2715</v>
      </c>
      <c r="J923" s="3" t="s">
        <v>85</v>
      </c>
      <c r="K923" s="6"/>
      <c r="L923" s="6">
        <v>10</v>
      </c>
      <c r="M923" s="6">
        <f t="shared" si="91"/>
        <v>10</v>
      </c>
      <c r="N923" s="8">
        <v>129810</v>
      </c>
      <c r="O923" s="149"/>
    </row>
    <row r="924" spans="1:15" s="9" customFormat="1" ht="16.5" customHeight="1">
      <c r="A924" s="2">
        <v>58</v>
      </c>
      <c r="B924" s="3">
        <v>15</v>
      </c>
      <c r="C924" s="3">
        <v>861</v>
      </c>
      <c r="D924" s="3"/>
      <c r="E924" s="3" t="s">
        <v>1779</v>
      </c>
      <c r="F924" s="4" t="s">
        <v>1952</v>
      </c>
      <c r="G924" s="5" t="s">
        <v>1951</v>
      </c>
      <c r="H924" s="4" t="s">
        <v>1950</v>
      </c>
      <c r="I924" s="3" t="s">
        <v>2716</v>
      </c>
      <c r="J924" s="3" t="s">
        <v>85</v>
      </c>
      <c r="K924" s="6"/>
      <c r="L924" s="6">
        <v>10</v>
      </c>
      <c r="M924" s="6">
        <f t="shared" si="91"/>
        <v>10</v>
      </c>
      <c r="N924" s="8">
        <v>137680</v>
      </c>
      <c r="O924" s="149"/>
    </row>
    <row r="925" spans="1:15" s="9" customFormat="1" ht="16.5" customHeight="1">
      <c r="A925" s="2">
        <v>58</v>
      </c>
      <c r="B925" s="3">
        <v>16</v>
      </c>
      <c r="C925" s="3">
        <v>862</v>
      </c>
      <c r="D925" s="3"/>
      <c r="E925" s="3" t="s">
        <v>1779</v>
      </c>
      <c r="F925" s="4" t="s">
        <v>1949</v>
      </c>
      <c r="G925" s="5" t="s">
        <v>1948</v>
      </c>
      <c r="H925" s="4" t="s">
        <v>1947</v>
      </c>
      <c r="I925" s="3" t="s">
        <v>2714</v>
      </c>
      <c r="J925" s="3" t="s">
        <v>85</v>
      </c>
      <c r="K925" s="6"/>
      <c r="L925" s="6">
        <v>1</v>
      </c>
      <c r="M925" s="6">
        <f t="shared" si="91"/>
        <v>1</v>
      </c>
      <c r="N925" s="8">
        <v>112150</v>
      </c>
      <c r="O925" s="149"/>
    </row>
    <row r="926" spans="1:15" s="9" customFormat="1" ht="16.5" customHeight="1">
      <c r="A926" s="2">
        <v>58</v>
      </c>
      <c r="B926" s="3">
        <v>17</v>
      </c>
      <c r="C926" s="3">
        <v>863</v>
      </c>
      <c r="D926" s="3"/>
      <c r="E926" s="3" t="s">
        <v>1946</v>
      </c>
      <c r="F926" s="4" t="s">
        <v>1945</v>
      </c>
      <c r="G926" s="5" t="s">
        <v>1944</v>
      </c>
      <c r="H926" s="4" t="s">
        <v>1943</v>
      </c>
      <c r="I926" s="3" t="s">
        <v>2716</v>
      </c>
      <c r="J926" s="3" t="s">
        <v>85</v>
      </c>
      <c r="K926" s="6"/>
      <c r="L926" s="6">
        <v>1</v>
      </c>
      <c r="M926" s="6">
        <f t="shared" si="91"/>
        <v>1</v>
      </c>
      <c r="N926" s="8">
        <v>107590</v>
      </c>
      <c r="O926" s="149"/>
    </row>
    <row r="927" spans="1:15" s="9" customFormat="1" ht="16.5" customHeight="1">
      <c r="A927" s="2">
        <v>58</v>
      </c>
      <c r="B927" s="3">
        <v>18</v>
      </c>
      <c r="C927" s="3">
        <v>864</v>
      </c>
      <c r="D927" s="3" t="s">
        <v>474</v>
      </c>
      <c r="E927" s="3"/>
      <c r="F927" s="4" t="s">
        <v>812</v>
      </c>
      <c r="G927" s="5" t="s">
        <v>813</v>
      </c>
      <c r="H927" s="4">
        <v>176630</v>
      </c>
      <c r="I927" s="3" t="s">
        <v>2714</v>
      </c>
      <c r="J927" s="3" t="s">
        <v>85</v>
      </c>
      <c r="K927" s="6">
        <v>20</v>
      </c>
      <c r="L927" s="6"/>
      <c r="M927" s="6">
        <f t="shared" si="91"/>
        <v>20</v>
      </c>
      <c r="N927" s="8">
        <v>188960</v>
      </c>
      <c r="O927" s="149" t="s">
        <v>2977</v>
      </c>
    </row>
    <row r="928" spans="1:15" s="9" customFormat="1" ht="16.5" customHeight="1">
      <c r="A928" s="2">
        <v>58</v>
      </c>
      <c r="B928" s="3">
        <v>19</v>
      </c>
      <c r="C928" s="3">
        <v>865</v>
      </c>
      <c r="D928" s="3"/>
      <c r="E928" s="3" t="s">
        <v>1764</v>
      </c>
      <c r="F928" s="4" t="s">
        <v>812</v>
      </c>
      <c r="G928" s="5" t="s">
        <v>1942</v>
      </c>
      <c r="H928" s="4" t="s">
        <v>1941</v>
      </c>
      <c r="I928" s="3" t="s">
        <v>2717</v>
      </c>
      <c r="J928" s="3" t="s">
        <v>1940</v>
      </c>
      <c r="K928" s="6"/>
      <c r="L928" s="6">
        <v>10</v>
      </c>
      <c r="M928" s="6">
        <f t="shared" si="91"/>
        <v>10</v>
      </c>
      <c r="N928" s="8">
        <f>11810*20</f>
        <v>236200</v>
      </c>
      <c r="O928" s="149" t="s">
        <v>2978</v>
      </c>
    </row>
    <row r="929" spans="1:15" s="9" customFormat="1" ht="16.5" customHeight="1">
      <c r="A929" s="2">
        <v>58</v>
      </c>
      <c r="B929" s="3">
        <v>20</v>
      </c>
      <c r="C929" s="3">
        <v>866</v>
      </c>
      <c r="D929" s="3" t="s">
        <v>474</v>
      </c>
      <c r="E929" s="3"/>
      <c r="F929" s="4" t="s">
        <v>812</v>
      </c>
      <c r="G929" s="5" t="s">
        <v>814</v>
      </c>
      <c r="H929" s="4">
        <v>176625</v>
      </c>
      <c r="I929" s="3" t="s">
        <v>2718</v>
      </c>
      <c r="J929" s="3" t="s">
        <v>85</v>
      </c>
      <c r="K929" s="6">
        <v>10</v>
      </c>
      <c r="L929" s="6"/>
      <c r="M929" s="6">
        <f t="shared" si="91"/>
        <v>10</v>
      </c>
      <c r="N929" s="8">
        <f>11810*15</f>
        <v>177150</v>
      </c>
      <c r="O929" s="149" t="s">
        <v>2979</v>
      </c>
    </row>
    <row r="930" spans="1:15" s="9" customFormat="1" ht="16.5" customHeight="1">
      <c r="A930" s="2">
        <v>58</v>
      </c>
      <c r="B930" s="3">
        <v>21</v>
      </c>
      <c r="C930" s="3">
        <v>867</v>
      </c>
      <c r="D930" s="3" t="s">
        <v>474</v>
      </c>
      <c r="E930" s="3"/>
      <c r="F930" s="4"/>
      <c r="G930" s="5" t="s">
        <v>815</v>
      </c>
      <c r="H930" s="4" t="s">
        <v>816</v>
      </c>
      <c r="I930" s="3" t="s">
        <v>2714</v>
      </c>
      <c r="J930" s="3" t="s">
        <v>79</v>
      </c>
      <c r="K930" s="6">
        <v>5</v>
      </c>
      <c r="L930" s="6"/>
      <c r="M930" s="6">
        <f t="shared" si="91"/>
        <v>5</v>
      </c>
      <c r="N930" s="8" t="s">
        <v>2934</v>
      </c>
      <c r="O930" s="149"/>
    </row>
    <row r="931" spans="1:15" s="9" customFormat="1" ht="16.5" customHeight="1">
      <c r="A931" s="2">
        <v>58</v>
      </c>
      <c r="B931" s="3">
        <v>22</v>
      </c>
      <c r="C931" s="3">
        <v>868</v>
      </c>
      <c r="D931" s="3" t="s">
        <v>474</v>
      </c>
      <c r="E931" s="3"/>
      <c r="F931" s="4"/>
      <c r="G931" s="5" t="s">
        <v>817</v>
      </c>
      <c r="H931" s="4" t="s">
        <v>818</v>
      </c>
      <c r="I931" s="3" t="s">
        <v>2714</v>
      </c>
      <c r="J931" s="3" t="s">
        <v>79</v>
      </c>
      <c r="K931" s="6">
        <v>5</v>
      </c>
      <c r="L931" s="6"/>
      <c r="M931" s="6">
        <f t="shared" si="91"/>
        <v>5</v>
      </c>
      <c r="N931" s="8" t="s">
        <v>2934</v>
      </c>
      <c r="O931" s="149"/>
    </row>
    <row r="932" spans="1:15" s="9" customFormat="1" ht="16.5" customHeight="1">
      <c r="A932" s="2">
        <v>58</v>
      </c>
      <c r="B932" s="3">
        <v>23</v>
      </c>
      <c r="C932" s="3">
        <v>869</v>
      </c>
      <c r="D932" s="3" t="s">
        <v>474</v>
      </c>
      <c r="E932" s="3"/>
      <c r="F932" s="4"/>
      <c r="G932" s="5" t="s">
        <v>819</v>
      </c>
      <c r="H932" s="4" t="s">
        <v>820</v>
      </c>
      <c r="I932" s="3" t="s">
        <v>2714</v>
      </c>
      <c r="J932" s="3" t="s">
        <v>79</v>
      </c>
      <c r="K932" s="6">
        <v>5</v>
      </c>
      <c r="L932" s="6"/>
      <c r="M932" s="6">
        <f t="shared" si="91"/>
        <v>5</v>
      </c>
      <c r="N932" s="8" t="s">
        <v>2934</v>
      </c>
      <c r="O932" s="149"/>
    </row>
    <row r="933" spans="1:15" s="9" customFormat="1" ht="16.5" customHeight="1">
      <c r="A933" s="2">
        <v>58</v>
      </c>
      <c r="B933" s="3">
        <v>24</v>
      </c>
      <c r="C933" s="3">
        <v>870</v>
      </c>
      <c r="D933" s="3" t="s">
        <v>474</v>
      </c>
      <c r="E933" s="3"/>
      <c r="F933" s="4"/>
      <c r="G933" s="5" t="s">
        <v>821</v>
      </c>
      <c r="H933" s="4" t="s">
        <v>822</v>
      </c>
      <c r="I933" s="3" t="s">
        <v>2714</v>
      </c>
      <c r="J933" s="3" t="s">
        <v>79</v>
      </c>
      <c r="K933" s="6">
        <v>5</v>
      </c>
      <c r="L933" s="6"/>
      <c r="M933" s="6">
        <f t="shared" si="91"/>
        <v>5</v>
      </c>
      <c r="N933" s="8" t="s">
        <v>2934</v>
      </c>
      <c r="O933" s="149"/>
    </row>
    <row r="934" spans="1:15" s="9" customFormat="1" ht="16.5" customHeight="1">
      <c r="A934" s="2">
        <v>58</v>
      </c>
      <c r="B934" s="3">
        <v>25</v>
      </c>
      <c r="C934" s="3">
        <v>871</v>
      </c>
      <c r="D934" s="3" t="s">
        <v>474</v>
      </c>
      <c r="E934" s="3"/>
      <c r="F934" s="4" t="s">
        <v>823</v>
      </c>
      <c r="G934" s="5" t="s">
        <v>824</v>
      </c>
      <c r="H934" s="4" t="s">
        <v>825</v>
      </c>
      <c r="I934" s="3" t="s">
        <v>2715</v>
      </c>
      <c r="J934" s="3" t="s">
        <v>85</v>
      </c>
      <c r="K934" s="6">
        <v>5</v>
      </c>
      <c r="L934" s="6"/>
      <c r="M934" s="6">
        <f t="shared" si="91"/>
        <v>5</v>
      </c>
      <c r="N934" s="8">
        <v>651640</v>
      </c>
      <c r="O934" s="149">
        <v>651640</v>
      </c>
    </row>
    <row r="935" spans="1:15" s="9" customFormat="1" ht="16.5" customHeight="1">
      <c r="A935" s="2">
        <v>58</v>
      </c>
      <c r="B935" s="3">
        <v>26</v>
      </c>
      <c r="C935" s="3">
        <v>872</v>
      </c>
      <c r="D935" s="3" t="s">
        <v>474</v>
      </c>
      <c r="E935" s="3"/>
      <c r="F935" s="4" t="s">
        <v>826</v>
      </c>
      <c r="G935" s="5" t="s">
        <v>827</v>
      </c>
      <c r="H935" s="4" t="s">
        <v>828</v>
      </c>
      <c r="I935" s="3" t="s">
        <v>2718</v>
      </c>
      <c r="J935" s="3" t="s">
        <v>85</v>
      </c>
      <c r="K935" s="6">
        <v>5</v>
      </c>
      <c r="L935" s="6"/>
      <c r="M935" s="6">
        <f t="shared" si="91"/>
        <v>5</v>
      </c>
      <c r="N935" s="8">
        <v>651640</v>
      </c>
      <c r="O935" s="149">
        <v>651640</v>
      </c>
    </row>
    <row r="936" spans="1:15" s="9" customFormat="1" ht="16.5" customHeight="1">
      <c r="A936" s="2">
        <v>58</v>
      </c>
      <c r="B936" s="3">
        <v>27</v>
      </c>
      <c r="C936" s="3">
        <v>873</v>
      </c>
      <c r="D936" s="3" t="s">
        <v>474</v>
      </c>
      <c r="E936" s="3"/>
      <c r="F936" s="4" t="s">
        <v>829</v>
      </c>
      <c r="G936" s="5" t="s">
        <v>830</v>
      </c>
      <c r="H936" s="4" t="s">
        <v>831</v>
      </c>
      <c r="I936" s="3" t="s">
        <v>2714</v>
      </c>
      <c r="J936" s="3" t="s">
        <v>503</v>
      </c>
      <c r="K936" s="6">
        <v>2</v>
      </c>
      <c r="L936" s="6"/>
      <c r="M936" s="6">
        <f t="shared" si="91"/>
        <v>2</v>
      </c>
      <c r="N936" s="8">
        <v>87120</v>
      </c>
      <c r="O936" s="149" t="s">
        <v>2953</v>
      </c>
    </row>
    <row r="937" spans="1:15" s="9" customFormat="1" ht="16.5" customHeight="1">
      <c r="A937" s="2">
        <v>58</v>
      </c>
      <c r="B937" s="3">
        <v>28</v>
      </c>
      <c r="C937" s="3">
        <v>874</v>
      </c>
      <c r="D937" s="3" t="s">
        <v>474</v>
      </c>
      <c r="E937" s="3"/>
      <c r="F937" s="4" t="s">
        <v>832</v>
      </c>
      <c r="G937" s="5" t="s">
        <v>833</v>
      </c>
      <c r="H937" s="4" t="s">
        <v>834</v>
      </c>
      <c r="I937" s="3" t="s">
        <v>2718</v>
      </c>
      <c r="J937" s="3" t="s">
        <v>807</v>
      </c>
      <c r="K937" s="6">
        <v>50</v>
      </c>
      <c r="L937" s="6"/>
      <c r="M937" s="6">
        <f t="shared" si="91"/>
        <v>50</v>
      </c>
      <c r="N937" s="8">
        <v>18000</v>
      </c>
      <c r="O937" s="149" t="s">
        <v>2953</v>
      </c>
    </row>
    <row r="938" spans="1:15" s="9" customFormat="1" ht="16.5" customHeight="1">
      <c r="A938" s="2">
        <v>58</v>
      </c>
      <c r="B938" s="3">
        <v>29</v>
      </c>
      <c r="C938" s="3">
        <v>875</v>
      </c>
      <c r="D938" s="3" t="s">
        <v>474</v>
      </c>
      <c r="E938" s="3"/>
      <c r="F938" s="4" t="s">
        <v>835</v>
      </c>
      <c r="G938" s="5" t="s">
        <v>836</v>
      </c>
      <c r="H938" s="4" t="s">
        <v>837</v>
      </c>
      <c r="I938" s="3" t="s">
        <v>2717</v>
      </c>
      <c r="J938" s="3" t="s">
        <v>807</v>
      </c>
      <c r="K938" s="6">
        <v>50</v>
      </c>
      <c r="L938" s="6"/>
      <c r="M938" s="6">
        <f t="shared" si="91"/>
        <v>50</v>
      </c>
      <c r="N938" s="8">
        <v>22320</v>
      </c>
      <c r="O938" s="149" t="s">
        <v>2953</v>
      </c>
    </row>
    <row r="939" spans="1:15" s="9" customFormat="1" ht="16.5" customHeight="1">
      <c r="A939" s="2">
        <v>58</v>
      </c>
      <c r="B939" s="3">
        <v>30</v>
      </c>
      <c r="C939" s="3">
        <v>876</v>
      </c>
      <c r="D939" s="3" t="s">
        <v>474</v>
      </c>
      <c r="E939" s="3"/>
      <c r="F939" s="4" t="s">
        <v>835</v>
      </c>
      <c r="G939" s="5" t="s">
        <v>836</v>
      </c>
      <c r="H939" s="4" t="s">
        <v>838</v>
      </c>
      <c r="I939" s="3" t="s">
        <v>2714</v>
      </c>
      <c r="J939" s="3" t="s">
        <v>807</v>
      </c>
      <c r="K939" s="6">
        <v>50</v>
      </c>
      <c r="L939" s="6"/>
      <c r="M939" s="6">
        <f t="shared" si="91"/>
        <v>50</v>
      </c>
      <c r="N939" s="8">
        <v>22320</v>
      </c>
      <c r="O939" s="149" t="s">
        <v>2953</v>
      </c>
    </row>
    <row r="940" spans="1:15" s="9" customFormat="1" ht="16.5" customHeight="1">
      <c r="A940" s="2">
        <v>58</v>
      </c>
      <c r="B940" s="3">
        <v>31</v>
      </c>
      <c r="C940" s="3">
        <v>877</v>
      </c>
      <c r="D940" s="3" t="s">
        <v>474</v>
      </c>
      <c r="E940" s="3"/>
      <c r="F940" s="4" t="s">
        <v>839</v>
      </c>
      <c r="G940" s="5" t="s">
        <v>840</v>
      </c>
      <c r="H940" s="4" t="s">
        <v>841</v>
      </c>
      <c r="I940" s="3" t="s">
        <v>2719</v>
      </c>
      <c r="J940" s="3" t="s">
        <v>807</v>
      </c>
      <c r="K940" s="6">
        <v>80</v>
      </c>
      <c r="L940" s="6"/>
      <c r="M940" s="6">
        <f t="shared" si="91"/>
        <v>80</v>
      </c>
      <c r="N940" s="8">
        <v>22320</v>
      </c>
      <c r="O940" s="149" t="s">
        <v>2953</v>
      </c>
    </row>
    <row r="941" spans="1:15" s="9" customFormat="1" ht="16.5" customHeight="1">
      <c r="A941" s="2">
        <v>58</v>
      </c>
      <c r="B941" s="3">
        <v>32</v>
      </c>
      <c r="C941" s="3">
        <v>878</v>
      </c>
      <c r="D941" s="3" t="s">
        <v>474</v>
      </c>
      <c r="E941" s="3"/>
      <c r="F941" s="4" t="s">
        <v>842</v>
      </c>
      <c r="G941" s="5" t="s">
        <v>843</v>
      </c>
      <c r="H941" s="4" t="s">
        <v>844</v>
      </c>
      <c r="I941" s="3" t="s">
        <v>2714</v>
      </c>
      <c r="J941" s="3" t="s">
        <v>35</v>
      </c>
      <c r="K941" s="6">
        <v>10</v>
      </c>
      <c r="L941" s="6"/>
      <c r="M941" s="6">
        <f t="shared" si="91"/>
        <v>10</v>
      </c>
      <c r="N941" s="8">
        <v>157450</v>
      </c>
      <c r="O941" s="149"/>
    </row>
    <row r="942" spans="1:15" s="9" customFormat="1" ht="16.5" customHeight="1">
      <c r="A942" s="2">
        <v>58</v>
      </c>
      <c r="B942" s="3">
        <v>33</v>
      </c>
      <c r="C942" s="3">
        <v>879</v>
      </c>
      <c r="D942" s="3" t="s">
        <v>474</v>
      </c>
      <c r="E942" s="3"/>
      <c r="F942" s="4" t="s">
        <v>845</v>
      </c>
      <c r="G942" s="5" t="s">
        <v>846</v>
      </c>
      <c r="H942" s="4" t="s">
        <v>847</v>
      </c>
      <c r="I942" s="3" t="s">
        <v>2714</v>
      </c>
      <c r="J942" s="3" t="s">
        <v>848</v>
      </c>
      <c r="K942" s="6">
        <v>6</v>
      </c>
      <c r="L942" s="6"/>
      <c r="M942" s="6">
        <f t="shared" si="91"/>
        <v>6</v>
      </c>
      <c r="N942" s="8">
        <v>92400</v>
      </c>
      <c r="O942" s="149" t="s">
        <v>2980</v>
      </c>
    </row>
    <row r="943" spans="1:15" s="9" customFormat="1" ht="16.5" customHeight="1">
      <c r="A943" s="2">
        <v>58</v>
      </c>
      <c r="B943" s="3">
        <v>34</v>
      </c>
      <c r="C943" s="3">
        <v>880</v>
      </c>
      <c r="D943" s="3" t="s">
        <v>474</v>
      </c>
      <c r="E943" s="3"/>
      <c r="F943" s="4" t="s">
        <v>849</v>
      </c>
      <c r="G943" s="5" t="s">
        <v>850</v>
      </c>
      <c r="H943" s="4" t="s">
        <v>851</v>
      </c>
      <c r="I943" s="3" t="s">
        <v>2714</v>
      </c>
      <c r="J943" s="3" t="s">
        <v>503</v>
      </c>
      <c r="K943" s="6">
        <v>3</v>
      </c>
      <c r="L943" s="6"/>
      <c r="M943" s="6">
        <f t="shared" si="91"/>
        <v>3</v>
      </c>
      <c r="N943" s="8">
        <v>46440</v>
      </c>
      <c r="O943" s="149" t="s">
        <v>2953</v>
      </c>
    </row>
    <row r="944" spans="1:15" s="9" customFormat="1" ht="16.5" customHeight="1">
      <c r="A944" s="2">
        <v>58</v>
      </c>
      <c r="B944" s="3">
        <v>35</v>
      </c>
      <c r="C944" s="3">
        <v>881</v>
      </c>
      <c r="D944" s="3" t="s">
        <v>474</v>
      </c>
      <c r="E944" s="3"/>
      <c r="F944" s="4" t="s">
        <v>852</v>
      </c>
      <c r="G944" s="5" t="s">
        <v>853</v>
      </c>
      <c r="H944" s="4" t="s">
        <v>854</v>
      </c>
      <c r="I944" s="3" t="s">
        <v>2714</v>
      </c>
      <c r="J944" s="3" t="s">
        <v>503</v>
      </c>
      <c r="K944" s="6">
        <v>3</v>
      </c>
      <c r="L944" s="6"/>
      <c r="M944" s="6">
        <f t="shared" si="91"/>
        <v>3</v>
      </c>
      <c r="N944" s="8">
        <v>49200</v>
      </c>
      <c r="O944" s="149" t="s">
        <v>2953</v>
      </c>
    </row>
    <row r="945" spans="1:15" s="9" customFormat="1" ht="16.5" customHeight="1">
      <c r="A945" s="2">
        <v>58</v>
      </c>
      <c r="B945" s="3">
        <v>36</v>
      </c>
      <c r="C945" s="3">
        <v>882</v>
      </c>
      <c r="D945" s="3" t="s">
        <v>474</v>
      </c>
      <c r="E945" s="3"/>
      <c r="F945" s="4" t="s">
        <v>852</v>
      </c>
      <c r="G945" s="5" t="s">
        <v>853</v>
      </c>
      <c r="H945" s="4" t="s">
        <v>855</v>
      </c>
      <c r="I945" s="3" t="s">
        <v>2714</v>
      </c>
      <c r="J945" s="3" t="s">
        <v>503</v>
      </c>
      <c r="K945" s="6">
        <v>3</v>
      </c>
      <c r="L945" s="6"/>
      <c r="M945" s="6">
        <f t="shared" si="91"/>
        <v>3</v>
      </c>
      <c r="N945" s="8">
        <v>49200</v>
      </c>
      <c r="O945" s="149" t="s">
        <v>2953</v>
      </c>
    </row>
    <row r="946" spans="1:15" s="9" customFormat="1" ht="16.5" customHeight="1">
      <c r="A946" s="2">
        <v>58</v>
      </c>
      <c r="B946" s="3">
        <v>37</v>
      </c>
      <c r="C946" s="3">
        <v>883</v>
      </c>
      <c r="D946" s="3" t="s">
        <v>474</v>
      </c>
      <c r="E946" s="3"/>
      <c r="F946" s="4" t="s">
        <v>852</v>
      </c>
      <c r="G946" s="5" t="s">
        <v>856</v>
      </c>
      <c r="H946" s="4" t="s">
        <v>857</v>
      </c>
      <c r="I946" s="3" t="s">
        <v>2718</v>
      </c>
      <c r="J946" s="3" t="s">
        <v>807</v>
      </c>
      <c r="K946" s="6">
        <v>20</v>
      </c>
      <c r="L946" s="6"/>
      <c r="M946" s="6">
        <f t="shared" si="91"/>
        <v>20</v>
      </c>
      <c r="N946" s="8">
        <v>49200</v>
      </c>
      <c r="O946" s="149" t="s">
        <v>2953</v>
      </c>
    </row>
    <row r="947" spans="1:15" s="9" customFormat="1" ht="16.5" customHeight="1">
      <c r="A947" s="2">
        <v>58</v>
      </c>
      <c r="B947" s="3">
        <v>38</v>
      </c>
      <c r="C947" s="3">
        <v>884</v>
      </c>
      <c r="D947" s="3" t="s">
        <v>474</v>
      </c>
      <c r="E947" s="3"/>
      <c r="F947" s="4" t="s">
        <v>858</v>
      </c>
      <c r="G947" s="5" t="s">
        <v>859</v>
      </c>
      <c r="H947" s="4" t="s">
        <v>860</v>
      </c>
      <c r="I947" s="3" t="s">
        <v>2714</v>
      </c>
      <c r="J947" s="3" t="s">
        <v>807</v>
      </c>
      <c r="K947" s="6">
        <v>100</v>
      </c>
      <c r="L947" s="6"/>
      <c r="M947" s="6">
        <f t="shared" si="91"/>
        <v>100</v>
      </c>
      <c r="N947" s="8">
        <v>46440</v>
      </c>
      <c r="O947" s="149" t="s">
        <v>2953</v>
      </c>
    </row>
    <row r="948" spans="1:15" s="9" customFormat="1" ht="16.5" customHeight="1">
      <c r="A948" s="2">
        <v>58</v>
      </c>
      <c r="B948" s="3">
        <v>39</v>
      </c>
      <c r="C948" s="3">
        <v>885</v>
      </c>
      <c r="D948" s="3" t="s">
        <v>474</v>
      </c>
      <c r="E948" s="3"/>
      <c r="F948" s="4" t="s">
        <v>861</v>
      </c>
      <c r="G948" s="5" t="s">
        <v>862</v>
      </c>
      <c r="H948" s="4" t="s">
        <v>863</v>
      </c>
      <c r="I948" s="3" t="s">
        <v>2714</v>
      </c>
      <c r="J948" s="3" t="s">
        <v>503</v>
      </c>
      <c r="K948" s="6">
        <v>15</v>
      </c>
      <c r="L948" s="6"/>
      <c r="M948" s="6">
        <f t="shared" si="91"/>
        <v>15</v>
      </c>
      <c r="N948" s="8">
        <v>49200</v>
      </c>
      <c r="O948" s="149" t="s">
        <v>2953</v>
      </c>
    </row>
    <row r="949" spans="1:15" s="9" customFormat="1" ht="16.5" customHeight="1">
      <c r="A949" s="2">
        <v>58</v>
      </c>
      <c r="B949" s="3">
        <v>40</v>
      </c>
      <c r="C949" s="3">
        <v>886</v>
      </c>
      <c r="D949" s="3" t="s">
        <v>474</v>
      </c>
      <c r="E949" s="3"/>
      <c r="F949" s="4" t="s">
        <v>861</v>
      </c>
      <c r="G949" s="5" t="s">
        <v>862</v>
      </c>
      <c r="H949" s="4" t="s">
        <v>864</v>
      </c>
      <c r="I949" s="3" t="s">
        <v>2714</v>
      </c>
      <c r="J949" s="3" t="s">
        <v>503</v>
      </c>
      <c r="K949" s="6">
        <v>3</v>
      </c>
      <c r="L949" s="6"/>
      <c r="M949" s="6">
        <f t="shared" si="91"/>
        <v>3</v>
      </c>
      <c r="N949" s="8">
        <v>49200</v>
      </c>
      <c r="O949" s="149" t="s">
        <v>2953</v>
      </c>
    </row>
    <row r="950" spans="1:15" s="9" customFormat="1" ht="16.5" customHeight="1">
      <c r="A950" s="2">
        <v>58</v>
      </c>
      <c r="B950" s="3">
        <v>41</v>
      </c>
      <c r="C950" s="3">
        <v>887</v>
      </c>
      <c r="D950" s="3" t="s">
        <v>474</v>
      </c>
      <c r="E950" s="3"/>
      <c r="F950" s="4" t="s">
        <v>861</v>
      </c>
      <c r="G950" s="5" t="s">
        <v>865</v>
      </c>
      <c r="H950" s="4" t="s">
        <v>866</v>
      </c>
      <c r="I950" s="3" t="s">
        <v>2714</v>
      </c>
      <c r="J950" s="3" t="s">
        <v>807</v>
      </c>
      <c r="K950" s="6">
        <v>40</v>
      </c>
      <c r="L950" s="6"/>
      <c r="M950" s="6">
        <f t="shared" si="91"/>
        <v>40</v>
      </c>
      <c r="N950" s="8">
        <v>49200</v>
      </c>
      <c r="O950" s="149" t="s">
        <v>2953</v>
      </c>
    </row>
    <row r="951" spans="1:15" s="9" customFormat="1" ht="16.5" customHeight="1">
      <c r="A951" s="2">
        <v>58</v>
      </c>
      <c r="B951" s="3">
        <v>42</v>
      </c>
      <c r="C951" s="3">
        <v>888</v>
      </c>
      <c r="D951" s="3" t="s">
        <v>474</v>
      </c>
      <c r="E951" s="3"/>
      <c r="F951" s="4" t="s">
        <v>867</v>
      </c>
      <c r="G951" s="5" t="s">
        <v>868</v>
      </c>
      <c r="H951" s="4" t="s">
        <v>869</v>
      </c>
      <c r="I951" s="3" t="s">
        <v>2714</v>
      </c>
      <c r="J951" s="3" t="s">
        <v>807</v>
      </c>
      <c r="K951" s="6">
        <v>40</v>
      </c>
      <c r="L951" s="6"/>
      <c r="M951" s="6">
        <f t="shared" si="91"/>
        <v>40</v>
      </c>
      <c r="N951" s="8">
        <v>44400</v>
      </c>
      <c r="O951" s="149" t="s">
        <v>2953</v>
      </c>
    </row>
    <row r="952" spans="1:15" s="9" customFormat="1" ht="16.5" customHeight="1">
      <c r="A952" s="2">
        <v>58</v>
      </c>
      <c r="B952" s="3">
        <v>43</v>
      </c>
      <c r="C952" s="3">
        <v>889</v>
      </c>
      <c r="D952" s="3" t="s">
        <v>474</v>
      </c>
      <c r="E952" s="3"/>
      <c r="F952" s="4" t="s">
        <v>867</v>
      </c>
      <c r="G952" s="5" t="s">
        <v>870</v>
      </c>
      <c r="H952" s="4" t="s">
        <v>871</v>
      </c>
      <c r="I952" s="3" t="s">
        <v>2714</v>
      </c>
      <c r="J952" s="3" t="s">
        <v>503</v>
      </c>
      <c r="K952" s="6">
        <v>3</v>
      </c>
      <c r="L952" s="6"/>
      <c r="M952" s="6">
        <f t="shared" si="91"/>
        <v>3</v>
      </c>
      <c r="N952" s="8">
        <v>44400</v>
      </c>
      <c r="O952" s="149" t="s">
        <v>2953</v>
      </c>
    </row>
    <row r="953" spans="1:15" s="9" customFormat="1" ht="16.5" customHeight="1">
      <c r="A953" s="2">
        <v>58</v>
      </c>
      <c r="B953" s="3">
        <v>44</v>
      </c>
      <c r="C953" s="3">
        <v>890</v>
      </c>
      <c r="D953" s="3" t="s">
        <v>474</v>
      </c>
      <c r="E953" s="3"/>
      <c r="F953" s="4" t="s">
        <v>872</v>
      </c>
      <c r="G953" s="5" t="s">
        <v>868</v>
      </c>
      <c r="H953" s="4" t="s">
        <v>873</v>
      </c>
      <c r="I953" s="3" t="s">
        <v>2714</v>
      </c>
      <c r="J953" s="3" t="s">
        <v>874</v>
      </c>
      <c r="K953" s="6">
        <v>5</v>
      </c>
      <c r="L953" s="6"/>
      <c r="M953" s="6">
        <f t="shared" si="91"/>
        <v>5</v>
      </c>
      <c r="N953" s="8">
        <v>149760</v>
      </c>
      <c r="O953" s="149" t="s">
        <v>2981</v>
      </c>
    </row>
    <row r="954" spans="1:15" s="9" customFormat="1" ht="16.5" customHeight="1">
      <c r="A954" s="2">
        <v>58</v>
      </c>
      <c r="B954" s="3">
        <v>45</v>
      </c>
      <c r="C954" s="3">
        <v>891</v>
      </c>
      <c r="D954" s="3" t="s">
        <v>474</v>
      </c>
      <c r="E954" s="3"/>
      <c r="F954" s="4" t="s">
        <v>875</v>
      </c>
      <c r="G954" s="5" t="s">
        <v>876</v>
      </c>
      <c r="H954" s="4" t="s">
        <v>877</v>
      </c>
      <c r="I954" s="3" t="s">
        <v>2718</v>
      </c>
      <c r="J954" s="3" t="s">
        <v>874</v>
      </c>
      <c r="K954" s="6">
        <v>5</v>
      </c>
      <c r="L954" s="6"/>
      <c r="M954" s="6">
        <f t="shared" si="91"/>
        <v>5</v>
      </c>
      <c r="N954" s="8">
        <v>149760</v>
      </c>
      <c r="O954" s="149" t="s">
        <v>2981</v>
      </c>
    </row>
    <row r="955" spans="1:15" s="9" customFormat="1" ht="16.5" customHeight="1">
      <c r="A955" s="2">
        <v>58</v>
      </c>
      <c r="B955" s="3">
        <v>46</v>
      </c>
      <c r="C955" s="3">
        <v>892</v>
      </c>
      <c r="D955" s="3" t="s">
        <v>474</v>
      </c>
      <c r="E955" s="3"/>
      <c r="F955" s="4" t="s">
        <v>878</v>
      </c>
      <c r="G955" s="5" t="s">
        <v>876</v>
      </c>
      <c r="H955" s="4" t="s">
        <v>879</v>
      </c>
      <c r="I955" s="3" t="s">
        <v>2714</v>
      </c>
      <c r="J955" s="3" t="s">
        <v>807</v>
      </c>
      <c r="K955" s="6">
        <v>40</v>
      </c>
      <c r="L955" s="6"/>
      <c r="M955" s="6">
        <f t="shared" si="91"/>
        <v>40</v>
      </c>
      <c r="N955" s="8">
        <v>44400</v>
      </c>
      <c r="O955" s="149" t="s">
        <v>2953</v>
      </c>
    </row>
    <row r="956" spans="1:15" s="9" customFormat="1" ht="16.5" customHeight="1">
      <c r="A956" s="2">
        <v>58</v>
      </c>
      <c r="B956" s="3">
        <v>47</v>
      </c>
      <c r="C956" s="3">
        <v>893</v>
      </c>
      <c r="D956" s="3" t="s">
        <v>474</v>
      </c>
      <c r="E956" s="3"/>
      <c r="F956" s="4" t="s">
        <v>880</v>
      </c>
      <c r="G956" s="5" t="s">
        <v>881</v>
      </c>
      <c r="H956" s="4" t="s">
        <v>882</v>
      </c>
      <c r="I956" s="3" t="s">
        <v>2714</v>
      </c>
      <c r="J956" s="3" t="s">
        <v>807</v>
      </c>
      <c r="K956" s="6">
        <v>25</v>
      </c>
      <c r="L956" s="6"/>
      <c r="M956" s="6">
        <f t="shared" si="91"/>
        <v>25</v>
      </c>
      <c r="N956" s="8">
        <v>48960</v>
      </c>
      <c r="O956" s="149" t="s">
        <v>2953</v>
      </c>
    </row>
    <row r="957" spans="1:15" s="9" customFormat="1" ht="16.5" customHeight="1">
      <c r="A957" s="2">
        <v>58</v>
      </c>
      <c r="B957" s="3">
        <v>48</v>
      </c>
      <c r="C957" s="3">
        <v>894</v>
      </c>
      <c r="D957" s="3" t="s">
        <v>474</v>
      </c>
      <c r="E957" s="3"/>
      <c r="F957" s="4" t="s">
        <v>880</v>
      </c>
      <c r="G957" s="5" t="s">
        <v>883</v>
      </c>
      <c r="H957" s="4" t="s">
        <v>884</v>
      </c>
      <c r="I957" s="3" t="s">
        <v>2714</v>
      </c>
      <c r="J957" s="3" t="s">
        <v>503</v>
      </c>
      <c r="K957" s="6">
        <v>10</v>
      </c>
      <c r="L957" s="6"/>
      <c r="M957" s="6">
        <f t="shared" si="91"/>
        <v>10</v>
      </c>
      <c r="N957" s="8">
        <v>48960</v>
      </c>
      <c r="O957" s="149" t="s">
        <v>2953</v>
      </c>
    </row>
    <row r="958" spans="1:15" s="9" customFormat="1" ht="16.5" customHeight="1">
      <c r="A958" s="2">
        <v>58</v>
      </c>
      <c r="B958" s="3">
        <v>49</v>
      </c>
      <c r="C958" s="3">
        <v>895</v>
      </c>
      <c r="D958" s="3" t="s">
        <v>474</v>
      </c>
      <c r="E958" s="3"/>
      <c r="F958" s="4" t="s">
        <v>885</v>
      </c>
      <c r="G958" s="5" t="s">
        <v>886</v>
      </c>
      <c r="H958" s="4" t="s">
        <v>887</v>
      </c>
      <c r="I958" s="3" t="s">
        <v>2714</v>
      </c>
      <c r="J958" s="3" t="s">
        <v>807</v>
      </c>
      <c r="K958" s="6">
        <v>20</v>
      </c>
      <c r="L958" s="6"/>
      <c r="M958" s="6">
        <f t="shared" si="91"/>
        <v>20</v>
      </c>
      <c r="N958" s="8">
        <v>48960</v>
      </c>
      <c r="O958" s="149" t="s">
        <v>2953</v>
      </c>
    </row>
    <row r="959" spans="1:15" s="9" customFormat="1" ht="16.5" customHeight="1">
      <c r="A959" s="2">
        <v>58</v>
      </c>
      <c r="B959" s="3">
        <v>50</v>
      </c>
      <c r="C959" s="3">
        <v>896</v>
      </c>
      <c r="D959" s="3" t="s">
        <v>474</v>
      </c>
      <c r="E959" s="3"/>
      <c r="F959" s="4" t="s">
        <v>888</v>
      </c>
      <c r="G959" s="5" t="s">
        <v>889</v>
      </c>
      <c r="H959" s="4" t="s">
        <v>890</v>
      </c>
      <c r="I959" s="3" t="s">
        <v>2714</v>
      </c>
      <c r="J959" s="3" t="s">
        <v>503</v>
      </c>
      <c r="K959" s="6">
        <v>10</v>
      </c>
      <c r="L959" s="6"/>
      <c r="M959" s="6">
        <f t="shared" si="91"/>
        <v>10</v>
      </c>
      <c r="N959" s="8">
        <v>24720</v>
      </c>
      <c r="O959" s="149" t="s">
        <v>2953</v>
      </c>
    </row>
    <row r="960" spans="1:15" s="9" customFormat="1" ht="16.5" customHeight="1">
      <c r="A960" s="2">
        <v>58</v>
      </c>
      <c r="B960" s="3">
        <v>51</v>
      </c>
      <c r="C960" s="3">
        <v>897</v>
      </c>
      <c r="D960" s="3" t="s">
        <v>474</v>
      </c>
      <c r="E960" s="3"/>
      <c r="F960" s="4" t="s">
        <v>888</v>
      </c>
      <c r="G960" s="5" t="s">
        <v>889</v>
      </c>
      <c r="H960" s="4" t="s">
        <v>891</v>
      </c>
      <c r="I960" s="3" t="s">
        <v>2714</v>
      </c>
      <c r="J960" s="3" t="s">
        <v>892</v>
      </c>
      <c r="K960" s="6">
        <v>10</v>
      </c>
      <c r="L960" s="6"/>
      <c r="M960" s="6">
        <f t="shared" si="91"/>
        <v>10</v>
      </c>
      <c r="N960" s="8">
        <v>123600</v>
      </c>
      <c r="O960" s="149" t="s">
        <v>2953</v>
      </c>
    </row>
    <row r="961" spans="1:15" s="9" customFormat="1" ht="16.5" customHeight="1">
      <c r="A961" s="2">
        <v>58</v>
      </c>
      <c r="B961" s="3">
        <v>52</v>
      </c>
      <c r="C961" s="3">
        <v>898</v>
      </c>
      <c r="D961" s="3" t="s">
        <v>474</v>
      </c>
      <c r="E961" s="3"/>
      <c r="F961" s="4" t="s">
        <v>893</v>
      </c>
      <c r="G961" s="5" t="s">
        <v>894</v>
      </c>
      <c r="H961" s="4" t="s">
        <v>895</v>
      </c>
      <c r="I961" s="3" t="s">
        <v>2714</v>
      </c>
      <c r="J961" s="3" t="s">
        <v>874</v>
      </c>
      <c r="K961" s="6">
        <v>5</v>
      </c>
      <c r="L961" s="6"/>
      <c r="M961" s="6">
        <f t="shared" si="91"/>
        <v>5</v>
      </c>
      <c r="N961" s="8">
        <v>33264</v>
      </c>
      <c r="O961" s="149" t="s">
        <v>2981</v>
      </c>
    </row>
    <row r="962" spans="1:15" s="9" customFormat="1" ht="16.5" customHeight="1">
      <c r="A962" s="2">
        <v>58</v>
      </c>
      <c r="B962" s="3">
        <v>53</v>
      </c>
      <c r="C962" s="3">
        <v>899</v>
      </c>
      <c r="D962" s="3" t="s">
        <v>474</v>
      </c>
      <c r="E962" s="3"/>
      <c r="F962" s="4" t="s">
        <v>888</v>
      </c>
      <c r="G962" s="5" t="s">
        <v>896</v>
      </c>
      <c r="H962" s="4" t="s">
        <v>897</v>
      </c>
      <c r="I962" s="3" t="s">
        <v>2714</v>
      </c>
      <c r="J962" s="3" t="s">
        <v>807</v>
      </c>
      <c r="K962" s="6">
        <v>1</v>
      </c>
      <c r="L962" s="6"/>
      <c r="M962" s="6">
        <f t="shared" si="91"/>
        <v>1</v>
      </c>
      <c r="N962" s="8">
        <v>24720</v>
      </c>
      <c r="O962" s="149" t="s">
        <v>2953</v>
      </c>
    </row>
    <row r="963" spans="1:15" s="9" customFormat="1" ht="16.5" customHeight="1">
      <c r="A963" s="2">
        <v>58</v>
      </c>
      <c r="B963" s="3">
        <v>54</v>
      </c>
      <c r="C963" s="3">
        <v>900</v>
      </c>
      <c r="D963" s="3" t="s">
        <v>474</v>
      </c>
      <c r="E963" s="3"/>
      <c r="F963" s="4" t="s">
        <v>898</v>
      </c>
      <c r="G963" s="5" t="s">
        <v>899</v>
      </c>
      <c r="H963" s="4" t="s">
        <v>900</v>
      </c>
      <c r="I963" s="3" t="s">
        <v>2716</v>
      </c>
      <c r="J963" s="3" t="s">
        <v>892</v>
      </c>
      <c r="K963" s="6">
        <v>2</v>
      </c>
      <c r="L963" s="6"/>
      <c r="M963" s="6">
        <f t="shared" si="91"/>
        <v>2</v>
      </c>
      <c r="N963" s="8">
        <v>123600</v>
      </c>
      <c r="O963" s="149" t="s">
        <v>2953</v>
      </c>
    </row>
    <row r="964" spans="1:15" s="9" customFormat="1" ht="16.5" customHeight="1">
      <c r="A964" s="2">
        <v>58</v>
      </c>
      <c r="B964" s="3">
        <v>55</v>
      </c>
      <c r="C964" s="3">
        <v>901</v>
      </c>
      <c r="D964" s="3" t="s">
        <v>474</v>
      </c>
      <c r="E964" s="3"/>
      <c r="F964" s="4" t="s">
        <v>901</v>
      </c>
      <c r="G964" s="5" t="s">
        <v>899</v>
      </c>
      <c r="H964" s="4" t="s">
        <v>902</v>
      </c>
      <c r="I964" s="3" t="s">
        <v>2714</v>
      </c>
      <c r="J964" s="3" t="s">
        <v>874</v>
      </c>
      <c r="K964" s="6">
        <v>10</v>
      </c>
      <c r="L964" s="6"/>
      <c r="M964" s="6">
        <f t="shared" si="91"/>
        <v>10</v>
      </c>
      <c r="N964" s="8">
        <v>33264</v>
      </c>
      <c r="O964" s="149" t="s">
        <v>2981</v>
      </c>
    </row>
    <row r="965" spans="1:15" s="9" customFormat="1" ht="16.5" customHeight="1">
      <c r="A965" s="2">
        <v>58</v>
      </c>
      <c r="B965" s="3">
        <v>56</v>
      </c>
      <c r="C965" s="3">
        <v>902</v>
      </c>
      <c r="D965" s="3" t="s">
        <v>474</v>
      </c>
      <c r="E965" s="3"/>
      <c r="F965" s="4" t="s">
        <v>903</v>
      </c>
      <c r="G965" s="5" t="s">
        <v>899</v>
      </c>
      <c r="H965" s="4" t="s">
        <v>904</v>
      </c>
      <c r="I965" s="3" t="s">
        <v>2714</v>
      </c>
      <c r="J965" s="3" t="s">
        <v>874</v>
      </c>
      <c r="K965" s="6">
        <v>10</v>
      </c>
      <c r="L965" s="6"/>
      <c r="M965" s="6">
        <f t="shared" si="91"/>
        <v>10</v>
      </c>
      <c r="N965" s="8">
        <v>33264</v>
      </c>
      <c r="O965" s="149" t="s">
        <v>2981</v>
      </c>
    </row>
    <row r="966" spans="1:15" s="9" customFormat="1" ht="16.5" customHeight="1">
      <c r="A966" s="2">
        <v>58</v>
      </c>
      <c r="B966" s="3">
        <v>57</v>
      </c>
      <c r="C966" s="3">
        <v>903</v>
      </c>
      <c r="D966" s="3" t="s">
        <v>474</v>
      </c>
      <c r="E966" s="3"/>
      <c r="F966" s="4" t="s">
        <v>905</v>
      </c>
      <c r="G966" s="5" t="s">
        <v>906</v>
      </c>
      <c r="H966" s="4" t="s">
        <v>907</v>
      </c>
      <c r="I966" s="3" t="s">
        <v>2714</v>
      </c>
      <c r="J966" s="3" t="s">
        <v>503</v>
      </c>
      <c r="K966" s="6">
        <v>20</v>
      </c>
      <c r="L966" s="6"/>
      <c r="M966" s="6">
        <f t="shared" si="91"/>
        <v>20</v>
      </c>
      <c r="N966" s="8">
        <v>32160</v>
      </c>
      <c r="O966" s="149" t="s">
        <v>2953</v>
      </c>
    </row>
    <row r="967" spans="1:15" s="9" customFormat="1" ht="16.5" customHeight="1">
      <c r="A967" s="2">
        <v>58</v>
      </c>
      <c r="B967" s="3">
        <v>58</v>
      </c>
      <c r="C967" s="3">
        <v>904</v>
      </c>
      <c r="D967" s="3" t="s">
        <v>474</v>
      </c>
      <c r="E967" s="3"/>
      <c r="F967" s="4" t="s">
        <v>908</v>
      </c>
      <c r="G967" s="5" t="s">
        <v>909</v>
      </c>
      <c r="H967" s="4" t="s">
        <v>910</v>
      </c>
      <c r="I967" s="3" t="s">
        <v>2714</v>
      </c>
      <c r="J967" s="3" t="s">
        <v>503</v>
      </c>
      <c r="K967" s="6">
        <v>10</v>
      </c>
      <c r="L967" s="6"/>
      <c r="M967" s="6">
        <f t="shared" si="91"/>
        <v>10</v>
      </c>
      <c r="N967" s="8">
        <v>60840</v>
      </c>
      <c r="O967" s="149" t="s">
        <v>2953</v>
      </c>
    </row>
    <row r="968" spans="1:15" s="9" customFormat="1" ht="16.5" customHeight="1">
      <c r="A968" s="2">
        <v>58</v>
      </c>
      <c r="B968" s="3">
        <v>59</v>
      </c>
      <c r="C968" s="3">
        <v>905</v>
      </c>
      <c r="D968" s="3" t="s">
        <v>474</v>
      </c>
      <c r="E968" s="3"/>
      <c r="F968" s="4" t="s">
        <v>911</v>
      </c>
      <c r="G968" s="5" t="s">
        <v>912</v>
      </c>
      <c r="H968" s="4" t="s">
        <v>913</v>
      </c>
      <c r="I968" s="3" t="s">
        <v>2719</v>
      </c>
      <c r="J968" s="3" t="s">
        <v>503</v>
      </c>
      <c r="K968" s="6">
        <v>5</v>
      </c>
      <c r="L968" s="6"/>
      <c r="M968" s="6">
        <f t="shared" si="91"/>
        <v>5</v>
      </c>
      <c r="N968" s="8">
        <v>326520</v>
      </c>
      <c r="O968" s="149" t="s">
        <v>2953</v>
      </c>
    </row>
    <row r="969" spans="1:15" s="9" customFormat="1" ht="16.5" customHeight="1">
      <c r="A969" s="2">
        <v>58</v>
      </c>
      <c r="B969" s="3">
        <v>60</v>
      </c>
      <c r="C969" s="3">
        <v>906</v>
      </c>
      <c r="D969" s="3" t="s">
        <v>474</v>
      </c>
      <c r="E969" s="3"/>
      <c r="F969" s="4" t="s">
        <v>911</v>
      </c>
      <c r="G969" s="5" t="s">
        <v>912</v>
      </c>
      <c r="H969" s="4" t="s">
        <v>914</v>
      </c>
      <c r="I969" s="3" t="s">
        <v>2714</v>
      </c>
      <c r="J969" s="3" t="s">
        <v>503</v>
      </c>
      <c r="K969" s="6">
        <v>5</v>
      </c>
      <c r="L969" s="6"/>
      <c r="M969" s="6">
        <f t="shared" si="91"/>
        <v>5</v>
      </c>
      <c r="N969" s="8">
        <v>326520</v>
      </c>
      <c r="O969" s="149" t="s">
        <v>2953</v>
      </c>
    </row>
    <row r="970" spans="1:15" s="9" customFormat="1" ht="16.5" customHeight="1">
      <c r="A970" s="2">
        <v>58</v>
      </c>
      <c r="B970" s="3">
        <v>61</v>
      </c>
      <c r="C970" s="3">
        <v>907</v>
      </c>
      <c r="D970" s="3" t="s">
        <v>474</v>
      </c>
      <c r="E970" s="3"/>
      <c r="F970" s="4" t="s">
        <v>911</v>
      </c>
      <c r="G970" s="5" t="s">
        <v>915</v>
      </c>
      <c r="H970" s="4" t="s">
        <v>916</v>
      </c>
      <c r="I970" s="3" t="s">
        <v>2716</v>
      </c>
      <c r="J970" s="3" t="s">
        <v>503</v>
      </c>
      <c r="K970" s="6">
        <v>10</v>
      </c>
      <c r="L970" s="6"/>
      <c r="M970" s="6">
        <f t="shared" si="91"/>
        <v>10</v>
      </c>
      <c r="N970" s="8">
        <v>326520</v>
      </c>
      <c r="O970" s="149" t="s">
        <v>2953</v>
      </c>
    </row>
    <row r="971" spans="1:15" s="9" customFormat="1" ht="16.5" customHeight="1">
      <c r="A971" s="2">
        <v>58</v>
      </c>
      <c r="B971" s="3">
        <v>62</v>
      </c>
      <c r="C971" s="3">
        <v>908</v>
      </c>
      <c r="D971" s="3" t="s">
        <v>474</v>
      </c>
      <c r="E971" s="3"/>
      <c r="F971" s="4" t="s">
        <v>917</v>
      </c>
      <c r="G971" s="5" t="s">
        <v>918</v>
      </c>
      <c r="H971" s="4" t="s">
        <v>919</v>
      </c>
      <c r="I971" s="3" t="s">
        <v>2719</v>
      </c>
      <c r="J971" s="3" t="s">
        <v>503</v>
      </c>
      <c r="K971" s="6">
        <v>5</v>
      </c>
      <c r="L971" s="6"/>
      <c r="M971" s="6">
        <f t="shared" si="91"/>
        <v>5</v>
      </c>
      <c r="N971" s="8">
        <v>68880</v>
      </c>
      <c r="O971" s="149" t="s">
        <v>2953</v>
      </c>
    </row>
    <row r="972" spans="1:15" s="9" customFormat="1" ht="16.5" customHeight="1">
      <c r="A972" s="2">
        <v>58</v>
      </c>
      <c r="B972" s="3">
        <v>63</v>
      </c>
      <c r="C972" s="3">
        <v>909</v>
      </c>
      <c r="D972" s="3" t="s">
        <v>474</v>
      </c>
      <c r="E972" s="3"/>
      <c r="F972" s="4" t="s">
        <v>920</v>
      </c>
      <c r="G972" s="5" t="s">
        <v>921</v>
      </c>
      <c r="H972" s="4" t="s">
        <v>922</v>
      </c>
      <c r="I972" s="3" t="s">
        <v>2715</v>
      </c>
      <c r="J972" s="3" t="s">
        <v>503</v>
      </c>
      <c r="K972" s="6">
        <v>5</v>
      </c>
      <c r="L972" s="6"/>
      <c r="M972" s="6">
        <f t="shared" si="91"/>
        <v>5</v>
      </c>
      <c r="N972" s="8">
        <v>44400</v>
      </c>
      <c r="O972" s="149" t="s">
        <v>2953</v>
      </c>
    </row>
    <row r="973" spans="1:15" s="9" customFormat="1" ht="16.5" customHeight="1">
      <c r="A973" s="2">
        <v>58</v>
      </c>
      <c r="B973" s="3">
        <v>64</v>
      </c>
      <c r="C973" s="3">
        <v>910</v>
      </c>
      <c r="D973" s="3" t="s">
        <v>474</v>
      </c>
      <c r="E973" s="3"/>
      <c r="F973" s="4" t="s">
        <v>880</v>
      </c>
      <c r="G973" s="5" t="s">
        <v>883</v>
      </c>
      <c r="H973" s="4" t="s">
        <v>923</v>
      </c>
      <c r="I973" s="3" t="s">
        <v>2714</v>
      </c>
      <c r="J973" s="3" t="s">
        <v>503</v>
      </c>
      <c r="K973" s="6">
        <v>5</v>
      </c>
      <c r="L973" s="6"/>
      <c r="M973" s="6">
        <f t="shared" si="91"/>
        <v>5</v>
      </c>
      <c r="N973" s="8">
        <v>48960</v>
      </c>
      <c r="O973" s="149" t="s">
        <v>2953</v>
      </c>
    </row>
    <row r="974" spans="1:15" s="9" customFormat="1" ht="16.5" customHeight="1">
      <c r="A974" s="2">
        <v>58</v>
      </c>
      <c r="B974" s="3">
        <v>65</v>
      </c>
      <c r="C974" s="3">
        <v>911</v>
      </c>
      <c r="D974" s="3" t="s">
        <v>474</v>
      </c>
      <c r="E974" s="3"/>
      <c r="F974" s="4" t="s">
        <v>880</v>
      </c>
      <c r="G974" s="5" t="s">
        <v>883</v>
      </c>
      <c r="H974" s="4" t="s">
        <v>924</v>
      </c>
      <c r="I974" s="3" t="s">
        <v>2715</v>
      </c>
      <c r="J974" s="3" t="s">
        <v>503</v>
      </c>
      <c r="K974" s="6">
        <v>5</v>
      </c>
      <c r="L974" s="6"/>
      <c r="M974" s="6">
        <f t="shared" si="91"/>
        <v>5</v>
      </c>
      <c r="N974" s="8">
        <v>48960</v>
      </c>
      <c r="O974" s="149" t="s">
        <v>2953</v>
      </c>
    </row>
    <row r="975" spans="1:15" s="9" customFormat="1" ht="16.5" customHeight="1">
      <c r="A975" s="2">
        <v>58</v>
      </c>
      <c r="B975" s="3">
        <v>66</v>
      </c>
      <c r="C975" s="3">
        <v>912</v>
      </c>
      <c r="D975" s="3" t="s">
        <v>474</v>
      </c>
      <c r="E975" s="3"/>
      <c r="F975" s="4" t="s">
        <v>885</v>
      </c>
      <c r="G975" s="5" t="s">
        <v>925</v>
      </c>
      <c r="H975" s="4" t="s">
        <v>926</v>
      </c>
      <c r="I975" s="3" t="s">
        <v>2714</v>
      </c>
      <c r="J975" s="3" t="s">
        <v>503</v>
      </c>
      <c r="K975" s="6">
        <v>5</v>
      </c>
      <c r="L975" s="6"/>
      <c r="M975" s="6">
        <f t="shared" si="91"/>
        <v>5</v>
      </c>
      <c r="N975" s="8">
        <v>48960</v>
      </c>
      <c r="O975" s="149" t="s">
        <v>2953</v>
      </c>
    </row>
    <row r="976" spans="1:15" s="9" customFormat="1" ht="16.5" customHeight="1">
      <c r="A976" s="2">
        <v>58</v>
      </c>
      <c r="B976" s="3">
        <v>67</v>
      </c>
      <c r="C976" s="3">
        <v>913</v>
      </c>
      <c r="D976" s="3" t="s">
        <v>474</v>
      </c>
      <c r="E976" s="3"/>
      <c r="F976" s="4" t="s">
        <v>927</v>
      </c>
      <c r="G976" s="5" t="s">
        <v>928</v>
      </c>
      <c r="H976" s="4" t="s">
        <v>929</v>
      </c>
      <c r="I976" s="3" t="s">
        <v>2719</v>
      </c>
      <c r="J976" s="3" t="s">
        <v>892</v>
      </c>
      <c r="K976" s="6">
        <v>5</v>
      </c>
      <c r="L976" s="6"/>
      <c r="M976" s="6">
        <f t="shared" si="91"/>
        <v>5</v>
      </c>
      <c r="N976" s="8">
        <v>92400</v>
      </c>
      <c r="O976" s="149" t="s">
        <v>2953</v>
      </c>
    </row>
    <row r="977" spans="1:15" s="9" customFormat="1">
      <c r="A977" s="2">
        <v>58</v>
      </c>
      <c r="B977" s="3">
        <v>68</v>
      </c>
      <c r="C977" s="3">
        <v>914</v>
      </c>
      <c r="D977" s="3" t="s">
        <v>474</v>
      </c>
      <c r="E977" s="3"/>
      <c r="F977" s="4" t="s">
        <v>930</v>
      </c>
      <c r="G977" s="5" t="s">
        <v>931</v>
      </c>
      <c r="H977" s="4">
        <v>174006</v>
      </c>
      <c r="I977" s="3" t="s">
        <v>2714</v>
      </c>
      <c r="J977" s="3" t="s">
        <v>932</v>
      </c>
      <c r="K977" s="6">
        <v>3</v>
      </c>
      <c r="L977" s="6"/>
      <c r="M977" s="6">
        <f t="shared" si="91"/>
        <v>3</v>
      </c>
      <c r="N977" s="8">
        <f>25730*30</f>
        <v>771900</v>
      </c>
      <c r="O977" s="149" t="s">
        <v>2957</v>
      </c>
    </row>
    <row r="978" spans="1:15" s="9" customFormat="1" ht="16.5" customHeight="1">
      <c r="A978" s="2">
        <v>58</v>
      </c>
      <c r="B978" s="3">
        <v>69</v>
      </c>
      <c r="C978" s="3">
        <v>915</v>
      </c>
      <c r="D978" s="3" t="s">
        <v>474</v>
      </c>
      <c r="E978" s="3"/>
      <c r="F978" s="4" t="s">
        <v>933</v>
      </c>
      <c r="G978" s="5" t="s">
        <v>934</v>
      </c>
      <c r="H978" s="4" t="s">
        <v>935</v>
      </c>
      <c r="I978" s="3" t="s">
        <v>2714</v>
      </c>
      <c r="J978" s="3" t="s">
        <v>28</v>
      </c>
      <c r="K978" s="6">
        <v>5</v>
      </c>
      <c r="L978" s="6"/>
      <c r="M978" s="6">
        <f t="shared" ref="M978:M983" si="92">K978+L978</f>
        <v>5</v>
      </c>
      <c r="N978" s="8">
        <v>678050</v>
      </c>
      <c r="O978" s="149"/>
    </row>
    <row r="979" spans="1:15" s="9" customFormat="1" ht="16.5" customHeight="1">
      <c r="A979" s="2">
        <v>58</v>
      </c>
      <c r="B979" s="3">
        <v>70</v>
      </c>
      <c r="C979" s="3">
        <v>916</v>
      </c>
      <c r="D979" s="3" t="s">
        <v>474</v>
      </c>
      <c r="E979" s="3"/>
      <c r="F979" s="4" t="s">
        <v>920</v>
      </c>
      <c r="G979" s="5" t="s">
        <v>936</v>
      </c>
      <c r="H979" s="4" t="s">
        <v>937</v>
      </c>
      <c r="I979" s="3" t="s">
        <v>2714</v>
      </c>
      <c r="J979" s="3" t="s">
        <v>603</v>
      </c>
      <c r="K979" s="6">
        <v>6</v>
      </c>
      <c r="L979" s="6"/>
      <c r="M979" s="6">
        <f t="shared" si="92"/>
        <v>6</v>
      </c>
      <c r="N979" s="8">
        <v>44400</v>
      </c>
      <c r="O979" s="149" t="s">
        <v>2953</v>
      </c>
    </row>
    <row r="980" spans="1:15" s="9" customFormat="1" ht="16.5" customHeight="1">
      <c r="A980" s="2">
        <v>58</v>
      </c>
      <c r="B980" s="3">
        <v>71</v>
      </c>
      <c r="C980" s="3">
        <v>917</v>
      </c>
      <c r="D980" s="3" t="s">
        <v>474</v>
      </c>
      <c r="E980" s="3"/>
      <c r="F980" s="4" t="s">
        <v>938</v>
      </c>
      <c r="G980" s="5" t="s">
        <v>939</v>
      </c>
      <c r="H980" s="4" t="s">
        <v>940</v>
      </c>
      <c r="I980" s="3" t="s">
        <v>2714</v>
      </c>
      <c r="J980" s="3" t="s">
        <v>28</v>
      </c>
      <c r="K980" s="6">
        <v>2</v>
      </c>
      <c r="L980" s="6"/>
      <c r="M980" s="6">
        <f t="shared" si="92"/>
        <v>2</v>
      </c>
      <c r="N980" s="8">
        <v>284530</v>
      </c>
      <c r="O980" s="149"/>
    </row>
    <row r="981" spans="1:15" s="9" customFormat="1" ht="16.5" customHeight="1">
      <c r="A981" s="2">
        <v>58</v>
      </c>
      <c r="B981" s="3">
        <v>72</v>
      </c>
      <c r="C981" s="3">
        <v>918</v>
      </c>
      <c r="D981" s="3" t="s">
        <v>474</v>
      </c>
      <c r="E981" s="3"/>
      <c r="F981" s="4" t="s">
        <v>941</v>
      </c>
      <c r="G981" s="5" t="s">
        <v>942</v>
      </c>
      <c r="H981" s="4" t="s">
        <v>943</v>
      </c>
      <c r="I981" s="3" t="s">
        <v>2718</v>
      </c>
      <c r="J981" s="3" t="s">
        <v>603</v>
      </c>
      <c r="K981" s="6">
        <v>2</v>
      </c>
      <c r="L981" s="6"/>
      <c r="M981" s="6">
        <f t="shared" si="92"/>
        <v>2</v>
      </c>
      <c r="N981" s="8">
        <f>27210*12</f>
        <v>326520</v>
      </c>
      <c r="O981" s="149" t="s">
        <v>2953</v>
      </c>
    </row>
    <row r="982" spans="1:15" s="9" customFormat="1" ht="16.5" customHeight="1">
      <c r="A982" s="2">
        <v>58</v>
      </c>
      <c r="B982" s="3">
        <v>73</v>
      </c>
      <c r="C982" s="3">
        <v>919</v>
      </c>
      <c r="D982" s="3" t="s">
        <v>474</v>
      </c>
      <c r="E982" s="3"/>
      <c r="F982" s="4" t="s">
        <v>944</v>
      </c>
      <c r="G982" s="5" t="s">
        <v>945</v>
      </c>
      <c r="H982" s="4" t="s">
        <v>946</v>
      </c>
      <c r="I982" s="3" t="s">
        <v>2714</v>
      </c>
      <c r="J982" s="3" t="s">
        <v>603</v>
      </c>
      <c r="K982" s="6">
        <v>6</v>
      </c>
      <c r="L982" s="6"/>
      <c r="M982" s="6">
        <f t="shared" si="92"/>
        <v>6</v>
      </c>
      <c r="N982" s="8">
        <f>2680*12</f>
        <v>32160</v>
      </c>
      <c r="O982" s="149" t="s">
        <v>2953</v>
      </c>
    </row>
    <row r="983" spans="1:15" s="9" customFormat="1" ht="16.5" customHeight="1">
      <c r="A983" s="2">
        <v>58</v>
      </c>
      <c r="B983" s="3">
        <v>74</v>
      </c>
      <c r="C983" s="3">
        <v>920</v>
      </c>
      <c r="D983" s="3" t="s">
        <v>474</v>
      </c>
      <c r="E983" s="3"/>
      <c r="F983" s="4" t="s">
        <v>888</v>
      </c>
      <c r="G983" s="5" t="s">
        <v>947</v>
      </c>
      <c r="H983" s="4" t="s">
        <v>948</v>
      </c>
      <c r="I983" s="3" t="s">
        <v>2714</v>
      </c>
      <c r="J983" s="3" t="s">
        <v>603</v>
      </c>
      <c r="K983" s="6">
        <v>9</v>
      </c>
      <c r="L983" s="6"/>
      <c r="M983" s="6">
        <f t="shared" si="92"/>
        <v>9</v>
      </c>
      <c r="N983" s="8">
        <f>2060*12</f>
        <v>24720</v>
      </c>
      <c r="O983" s="149" t="s">
        <v>2953</v>
      </c>
    </row>
    <row r="984" spans="1:15" s="9" customFormat="1" ht="16.5" customHeight="1">
      <c r="A984" s="13"/>
      <c r="B984" s="14"/>
      <c r="C984" s="14"/>
      <c r="D984" s="14"/>
      <c r="E984" s="14"/>
      <c r="F984" s="15"/>
      <c r="G984" s="16"/>
      <c r="H984" s="15"/>
      <c r="I984" s="15"/>
      <c r="J984" s="14"/>
      <c r="K984" s="157">
        <f>SUM(K910:K983)</f>
        <v>1299</v>
      </c>
      <c r="L984" s="157">
        <f t="shared" ref="L984:M984" si="93">SUM(L910:L983)</f>
        <v>72</v>
      </c>
      <c r="M984" s="157">
        <f t="shared" si="93"/>
        <v>1371</v>
      </c>
      <c r="N984" s="17"/>
      <c r="O984" s="145"/>
    </row>
    <row r="985" spans="1:15" s="9" customFormat="1" ht="16.5" customHeight="1">
      <c r="A985" s="2">
        <v>59</v>
      </c>
      <c r="B985" s="3">
        <v>1</v>
      </c>
      <c r="C985" s="3">
        <v>921</v>
      </c>
      <c r="D985" s="3" t="s">
        <v>14</v>
      </c>
      <c r="E985" s="3"/>
      <c r="F985" s="4"/>
      <c r="G985" s="18" t="s">
        <v>643</v>
      </c>
      <c r="H985" s="4" t="s">
        <v>644</v>
      </c>
      <c r="I985" s="4"/>
      <c r="J985" s="3" t="s">
        <v>18</v>
      </c>
      <c r="K985" s="6">
        <v>5</v>
      </c>
      <c r="L985" s="6"/>
      <c r="M985" s="6">
        <f t="shared" ref="M985:M1038" si="94">K985+L985</f>
        <v>5</v>
      </c>
      <c r="N985" s="8" t="s">
        <v>2934</v>
      </c>
      <c r="O985" s="149"/>
    </row>
    <row r="986" spans="1:15" s="9" customFormat="1" ht="16.5" customHeight="1">
      <c r="A986" s="2">
        <v>59</v>
      </c>
      <c r="B986" s="3">
        <v>2</v>
      </c>
      <c r="C986" s="3">
        <v>922</v>
      </c>
      <c r="D986" s="3" t="s">
        <v>645</v>
      </c>
      <c r="E986" s="3"/>
      <c r="F986" s="4"/>
      <c r="G986" s="18" t="s">
        <v>646</v>
      </c>
      <c r="H986" s="4" t="s">
        <v>647</v>
      </c>
      <c r="I986" s="4" t="s">
        <v>648</v>
      </c>
      <c r="J986" s="3" t="s">
        <v>649</v>
      </c>
      <c r="K986" s="6">
        <f>5+5+2</f>
        <v>12</v>
      </c>
      <c r="L986" s="6"/>
      <c r="M986" s="6">
        <f t="shared" si="94"/>
        <v>12</v>
      </c>
      <c r="N986" s="8" t="s">
        <v>2934</v>
      </c>
      <c r="O986" s="149"/>
    </row>
    <row r="987" spans="1:15" s="9" customFormat="1" ht="16.5" customHeight="1">
      <c r="A987" s="2">
        <v>59</v>
      </c>
      <c r="B987" s="3">
        <v>3</v>
      </c>
      <c r="C987" s="3">
        <v>923</v>
      </c>
      <c r="D987" s="3" t="s">
        <v>14</v>
      </c>
      <c r="E987" s="3"/>
      <c r="F987" s="4"/>
      <c r="G987" s="18" t="s">
        <v>650</v>
      </c>
      <c r="H987" s="4" t="s">
        <v>651</v>
      </c>
      <c r="I987" s="4" t="s">
        <v>652</v>
      </c>
      <c r="J987" s="3" t="s">
        <v>13</v>
      </c>
      <c r="K987" s="6">
        <f>5+5</f>
        <v>10</v>
      </c>
      <c r="L987" s="6"/>
      <c r="M987" s="6">
        <f t="shared" si="94"/>
        <v>10</v>
      </c>
      <c r="N987" s="8" t="s">
        <v>2934</v>
      </c>
      <c r="O987" s="149"/>
    </row>
    <row r="988" spans="1:15" s="9" customFormat="1" ht="16.5" customHeight="1">
      <c r="A988" s="2">
        <v>59</v>
      </c>
      <c r="B988" s="3">
        <v>4</v>
      </c>
      <c r="C988" s="3">
        <v>924</v>
      </c>
      <c r="D988" s="3" t="s">
        <v>14</v>
      </c>
      <c r="E988" s="3"/>
      <c r="F988" s="4"/>
      <c r="G988" s="18" t="s">
        <v>650</v>
      </c>
      <c r="H988" s="4" t="s">
        <v>653</v>
      </c>
      <c r="I988" s="4" t="s">
        <v>652</v>
      </c>
      <c r="J988" s="3" t="s">
        <v>13</v>
      </c>
      <c r="K988" s="6">
        <v>3</v>
      </c>
      <c r="L988" s="6"/>
      <c r="M988" s="6">
        <f t="shared" si="94"/>
        <v>3</v>
      </c>
      <c r="N988" s="8" t="s">
        <v>2934</v>
      </c>
      <c r="O988" s="149"/>
    </row>
    <row r="989" spans="1:15" s="9" customFormat="1" ht="16.5" customHeight="1">
      <c r="A989" s="2">
        <v>59</v>
      </c>
      <c r="B989" s="3">
        <v>5</v>
      </c>
      <c r="C989" s="3">
        <v>925</v>
      </c>
      <c r="D989" s="3" t="s">
        <v>14</v>
      </c>
      <c r="E989" s="3"/>
      <c r="F989" s="4"/>
      <c r="G989" s="12" t="s">
        <v>654</v>
      </c>
      <c r="H989" s="4" t="s">
        <v>655</v>
      </c>
      <c r="I989" s="10" t="s">
        <v>656</v>
      </c>
      <c r="J989" s="3" t="s">
        <v>35</v>
      </c>
      <c r="K989" s="6">
        <v>15</v>
      </c>
      <c r="L989" s="6"/>
      <c r="M989" s="6">
        <f t="shared" si="94"/>
        <v>15</v>
      </c>
      <c r="N989" s="8" t="s">
        <v>2934</v>
      </c>
      <c r="O989" s="153"/>
    </row>
    <row r="990" spans="1:15" s="9" customFormat="1" ht="16.5" customHeight="1">
      <c r="A990" s="2">
        <v>59</v>
      </c>
      <c r="B990" s="3">
        <v>6</v>
      </c>
      <c r="C990" s="3">
        <v>926</v>
      </c>
      <c r="D990" s="3" t="s">
        <v>14</v>
      </c>
      <c r="E990" s="3"/>
      <c r="F990" s="4"/>
      <c r="G990" s="5" t="s">
        <v>657</v>
      </c>
      <c r="H990" s="4" t="s">
        <v>658</v>
      </c>
      <c r="I990" s="3" t="s">
        <v>2655</v>
      </c>
      <c r="J990" s="3" t="s">
        <v>28</v>
      </c>
      <c r="K990" s="6">
        <v>3</v>
      </c>
      <c r="L990" s="6"/>
      <c r="M990" s="6">
        <f t="shared" si="94"/>
        <v>3</v>
      </c>
      <c r="N990" s="8" t="s">
        <v>2934</v>
      </c>
      <c r="O990" s="149"/>
    </row>
    <row r="991" spans="1:15" s="9" customFormat="1" ht="16.5" customHeight="1">
      <c r="A991" s="2">
        <v>59</v>
      </c>
      <c r="B991" s="3">
        <v>7</v>
      </c>
      <c r="C991" s="3">
        <v>927</v>
      </c>
      <c r="D991" s="3" t="s">
        <v>14</v>
      </c>
      <c r="E991" s="3"/>
      <c r="F991" s="4"/>
      <c r="G991" s="5" t="s">
        <v>659</v>
      </c>
      <c r="H991" s="4" t="s">
        <v>660</v>
      </c>
      <c r="I991" s="3" t="s">
        <v>2656</v>
      </c>
      <c r="J991" s="3" t="s">
        <v>85</v>
      </c>
      <c r="K991" s="6">
        <v>10</v>
      </c>
      <c r="L991" s="6"/>
      <c r="M991" s="6">
        <f t="shared" si="94"/>
        <v>10</v>
      </c>
      <c r="N991" s="8" t="s">
        <v>2934</v>
      </c>
      <c r="O991" s="149"/>
    </row>
    <row r="992" spans="1:15" s="9" customFormat="1" ht="16.5" customHeight="1">
      <c r="A992" s="2">
        <v>59</v>
      </c>
      <c r="B992" s="3">
        <v>8</v>
      </c>
      <c r="C992" s="3">
        <v>928</v>
      </c>
      <c r="D992" s="3" t="s">
        <v>75</v>
      </c>
      <c r="E992" s="3"/>
      <c r="F992" s="4"/>
      <c r="G992" s="5" t="s">
        <v>661</v>
      </c>
      <c r="H992" s="4" t="s">
        <v>662</v>
      </c>
      <c r="I992" s="3" t="s">
        <v>2657</v>
      </c>
      <c r="J992" s="3" t="s">
        <v>79</v>
      </c>
      <c r="K992" s="6">
        <v>5</v>
      </c>
      <c r="L992" s="6"/>
      <c r="M992" s="6">
        <f t="shared" si="94"/>
        <v>5</v>
      </c>
      <c r="N992" s="8" t="s">
        <v>2934</v>
      </c>
      <c r="O992" s="149"/>
    </row>
    <row r="993" spans="1:15" s="9" customFormat="1" ht="16.5" customHeight="1">
      <c r="A993" s="2">
        <v>59</v>
      </c>
      <c r="B993" s="3">
        <v>9</v>
      </c>
      <c r="C993" s="3">
        <v>929</v>
      </c>
      <c r="D993" s="3" t="s">
        <v>33</v>
      </c>
      <c r="E993" s="3"/>
      <c r="F993" s="4"/>
      <c r="G993" s="5" t="s">
        <v>663</v>
      </c>
      <c r="H993" s="4" t="s">
        <v>664</v>
      </c>
      <c r="I993" s="3" t="s">
        <v>2658</v>
      </c>
      <c r="J993" s="3" t="s">
        <v>13</v>
      </c>
      <c r="K993" s="6">
        <f>40+100</f>
        <v>140</v>
      </c>
      <c r="L993" s="6"/>
      <c r="M993" s="6">
        <f t="shared" si="94"/>
        <v>140</v>
      </c>
      <c r="N993" s="8" t="s">
        <v>2934</v>
      </c>
      <c r="O993" s="149"/>
    </row>
    <row r="994" spans="1:15" s="9" customFormat="1" ht="16.5" customHeight="1">
      <c r="A994" s="2">
        <v>59</v>
      </c>
      <c r="B994" s="3">
        <v>10</v>
      </c>
      <c r="C994" s="3">
        <v>930</v>
      </c>
      <c r="D994" s="3" t="s">
        <v>14</v>
      </c>
      <c r="E994" s="3"/>
      <c r="F994" s="4" t="s">
        <v>665</v>
      </c>
      <c r="G994" s="5" t="s">
        <v>666</v>
      </c>
      <c r="H994" s="4" t="s">
        <v>667</v>
      </c>
      <c r="I994" s="3" t="s">
        <v>2659</v>
      </c>
      <c r="J994" s="3" t="s">
        <v>35</v>
      </c>
      <c r="K994" s="6">
        <v>500</v>
      </c>
      <c r="L994" s="6"/>
      <c r="M994" s="6">
        <f t="shared" si="94"/>
        <v>500</v>
      </c>
      <c r="N994" s="8" t="s">
        <v>19</v>
      </c>
      <c r="O994" s="149"/>
    </row>
    <row r="995" spans="1:15" s="9" customFormat="1" ht="16.5" customHeight="1">
      <c r="A995" s="2">
        <v>59</v>
      </c>
      <c r="B995" s="3">
        <v>11</v>
      </c>
      <c r="C995" s="3">
        <v>931</v>
      </c>
      <c r="D995" s="3" t="s">
        <v>14</v>
      </c>
      <c r="E995" s="3"/>
      <c r="F995" s="4" t="s">
        <v>668</v>
      </c>
      <c r="G995" s="5" t="s">
        <v>666</v>
      </c>
      <c r="H995" s="4" t="s">
        <v>669</v>
      </c>
      <c r="I995" s="3" t="s">
        <v>2660</v>
      </c>
      <c r="J995" s="3" t="s">
        <v>35</v>
      </c>
      <c r="K995" s="6">
        <v>300</v>
      </c>
      <c r="L995" s="6"/>
      <c r="M995" s="6">
        <f t="shared" si="94"/>
        <v>300</v>
      </c>
      <c r="N995" s="8" t="s">
        <v>19</v>
      </c>
      <c r="O995" s="149"/>
    </row>
    <row r="996" spans="1:15" s="9" customFormat="1" ht="16.5" customHeight="1">
      <c r="A996" s="2">
        <v>59</v>
      </c>
      <c r="B996" s="3">
        <v>12</v>
      </c>
      <c r="C996" s="3">
        <v>932</v>
      </c>
      <c r="D996" s="3" t="s">
        <v>75</v>
      </c>
      <c r="E996" s="3"/>
      <c r="F996" s="4"/>
      <c r="G996" s="5" t="s">
        <v>670</v>
      </c>
      <c r="H996" s="4"/>
      <c r="I996" s="3" t="s">
        <v>2661</v>
      </c>
      <c r="J996" s="3" t="s">
        <v>671</v>
      </c>
      <c r="K996" s="6">
        <v>2</v>
      </c>
      <c r="L996" s="6"/>
      <c r="M996" s="6">
        <f t="shared" si="94"/>
        <v>2</v>
      </c>
      <c r="N996" s="8" t="s">
        <v>2934</v>
      </c>
      <c r="O996" s="149"/>
    </row>
    <row r="997" spans="1:15" s="9" customFormat="1" ht="16.5" customHeight="1">
      <c r="A997" s="2">
        <v>59</v>
      </c>
      <c r="B997" s="3">
        <v>13</v>
      </c>
      <c r="C997" s="3">
        <v>933</v>
      </c>
      <c r="D997" s="3" t="s">
        <v>75</v>
      </c>
      <c r="E997" s="3"/>
      <c r="F997" s="4"/>
      <c r="G997" s="5" t="s">
        <v>672</v>
      </c>
      <c r="H997" s="4" t="s">
        <v>673</v>
      </c>
      <c r="I997" s="3" t="s">
        <v>2662</v>
      </c>
      <c r="J997" s="3" t="s">
        <v>674</v>
      </c>
      <c r="K997" s="6">
        <v>3</v>
      </c>
      <c r="L997" s="6"/>
      <c r="M997" s="6">
        <f t="shared" si="94"/>
        <v>3</v>
      </c>
      <c r="N997" s="8" t="s">
        <v>2934</v>
      </c>
      <c r="O997" s="149"/>
    </row>
    <row r="998" spans="1:15" s="9" customFormat="1" ht="16.5" customHeight="1">
      <c r="A998" s="2">
        <v>59</v>
      </c>
      <c r="B998" s="3">
        <v>14</v>
      </c>
      <c r="C998" s="3">
        <v>934</v>
      </c>
      <c r="D998" s="3" t="s">
        <v>75</v>
      </c>
      <c r="E998" s="3"/>
      <c r="F998" s="4"/>
      <c r="G998" s="5" t="s">
        <v>675</v>
      </c>
      <c r="H998" s="4" t="s">
        <v>676</v>
      </c>
      <c r="I998" s="3" t="s">
        <v>2663</v>
      </c>
      <c r="J998" s="3" t="s">
        <v>28</v>
      </c>
      <c r="K998" s="6">
        <v>60</v>
      </c>
      <c r="L998" s="6"/>
      <c r="M998" s="6">
        <f t="shared" si="94"/>
        <v>60</v>
      </c>
      <c r="N998" s="8" t="s">
        <v>2934</v>
      </c>
      <c r="O998" s="149"/>
    </row>
    <row r="999" spans="1:15" s="9" customFormat="1" ht="16.5" customHeight="1">
      <c r="A999" s="2">
        <v>59</v>
      </c>
      <c r="B999" s="3">
        <v>15</v>
      </c>
      <c r="C999" s="3">
        <v>935</v>
      </c>
      <c r="D999" s="3" t="s">
        <v>75</v>
      </c>
      <c r="E999" s="3"/>
      <c r="F999" s="4"/>
      <c r="G999" s="5" t="s">
        <v>677</v>
      </c>
      <c r="H999" s="4" t="s">
        <v>678</v>
      </c>
      <c r="I999" s="3" t="s">
        <v>2664</v>
      </c>
      <c r="J999" s="3" t="s">
        <v>28</v>
      </c>
      <c r="K999" s="6">
        <v>60</v>
      </c>
      <c r="L999" s="6"/>
      <c r="M999" s="6">
        <f t="shared" si="94"/>
        <v>60</v>
      </c>
      <c r="N999" s="8" t="s">
        <v>2934</v>
      </c>
      <c r="O999" s="149"/>
    </row>
    <row r="1000" spans="1:15" s="9" customFormat="1">
      <c r="A1000" s="2">
        <v>59</v>
      </c>
      <c r="B1000" s="3">
        <v>16</v>
      </c>
      <c r="C1000" s="3">
        <v>936</v>
      </c>
      <c r="D1000" s="3" t="s">
        <v>75</v>
      </c>
      <c r="E1000" s="3"/>
      <c r="F1000" s="4" t="s">
        <v>679</v>
      </c>
      <c r="G1000" s="5" t="s">
        <v>680</v>
      </c>
      <c r="H1000" s="4">
        <v>36000</v>
      </c>
      <c r="I1000" s="3" t="s">
        <v>2665</v>
      </c>
      <c r="J1000" s="3" t="s">
        <v>28</v>
      </c>
      <c r="K1000" s="6">
        <v>100</v>
      </c>
      <c r="L1000" s="6"/>
      <c r="M1000" s="6">
        <f t="shared" si="94"/>
        <v>100</v>
      </c>
      <c r="N1000" s="8">
        <v>13860</v>
      </c>
      <c r="O1000" s="149"/>
    </row>
    <row r="1001" spans="1:15" s="9" customFormat="1" ht="16.5" customHeight="1">
      <c r="A1001" s="2">
        <v>59</v>
      </c>
      <c r="B1001" s="3">
        <v>17</v>
      </c>
      <c r="C1001" s="3">
        <v>937</v>
      </c>
      <c r="D1001" s="3" t="s">
        <v>75</v>
      </c>
      <c r="E1001" s="3"/>
      <c r="F1001" s="4" t="s">
        <v>682</v>
      </c>
      <c r="G1001" s="5" t="s">
        <v>683</v>
      </c>
      <c r="H1001" s="4">
        <v>62200</v>
      </c>
      <c r="I1001" s="3" t="s">
        <v>2666</v>
      </c>
      <c r="J1001" s="3" t="s">
        <v>28</v>
      </c>
      <c r="K1001" s="6">
        <v>30</v>
      </c>
      <c r="L1001" s="6"/>
      <c r="M1001" s="6">
        <f t="shared" si="94"/>
        <v>30</v>
      </c>
      <c r="N1001" s="8">
        <v>15360</v>
      </c>
      <c r="O1001" s="149"/>
    </row>
    <row r="1002" spans="1:15" s="9" customFormat="1" ht="16.5" customHeight="1">
      <c r="A1002" s="2">
        <v>59</v>
      </c>
      <c r="B1002" s="3">
        <v>18</v>
      </c>
      <c r="C1002" s="3">
        <v>938</v>
      </c>
      <c r="D1002" s="3" t="s">
        <v>33</v>
      </c>
      <c r="E1002" s="3" t="s">
        <v>1705</v>
      </c>
      <c r="F1002" s="4"/>
      <c r="G1002" s="5" t="s">
        <v>684</v>
      </c>
      <c r="H1002" s="4">
        <v>10135</v>
      </c>
      <c r="I1002" s="3" t="s">
        <v>2666</v>
      </c>
      <c r="J1002" s="3" t="s">
        <v>28</v>
      </c>
      <c r="K1002" s="6">
        <v>500</v>
      </c>
      <c r="L1002" s="6">
        <v>1</v>
      </c>
      <c r="M1002" s="6">
        <f t="shared" si="94"/>
        <v>501</v>
      </c>
      <c r="N1002" s="8" t="s">
        <v>2934</v>
      </c>
      <c r="O1002" s="149"/>
    </row>
    <row r="1003" spans="1:15" s="9" customFormat="1" ht="16.5" customHeight="1">
      <c r="A1003" s="2">
        <v>59</v>
      </c>
      <c r="B1003" s="3">
        <v>19</v>
      </c>
      <c r="C1003" s="3">
        <v>939</v>
      </c>
      <c r="D1003" s="3" t="s">
        <v>626</v>
      </c>
      <c r="E1003" s="3"/>
      <c r="F1003" s="4" t="s">
        <v>685</v>
      </c>
      <c r="G1003" s="5" t="s">
        <v>686</v>
      </c>
      <c r="H1003" s="4" t="s">
        <v>175</v>
      </c>
      <c r="I1003" s="3" t="s">
        <v>2667</v>
      </c>
      <c r="J1003" s="3" t="s">
        <v>28</v>
      </c>
      <c r="K1003" s="6">
        <v>100</v>
      </c>
      <c r="L1003" s="6"/>
      <c r="M1003" s="6">
        <f t="shared" si="94"/>
        <v>100</v>
      </c>
      <c r="N1003" s="8">
        <v>27130</v>
      </c>
      <c r="O1003" s="149"/>
    </row>
    <row r="1004" spans="1:15" s="9" customFormat="1" ht="16.5" customHeight="1">
      <c r="A1004" s="2">
        <v>59</v>
      </c>
      <c r="B1004" s="3">
        <v>20</v>
      </c>
      <c r="C1004" s="3">
        <v>940</v>
      </c>
      <c r="D1004" s="3" t="s">
        <v>626</v>
      </c>
      <c r="E1004" s="3"/>
      <c r="F1004" s="4"/>
      <c r="G1004" s="5" t="s">
        <v>687</v>
      </c>
      <c r="H1004" s="4" t="s">
        <v>175</v>
      </c>
      <c r="I1004" s="3" t="s">
        <v>2668</v>
      </c>
      <c r="J1004" s="3" t="s">
        <v>28</v>
      </c>
      <c r="K1004" s="6">
        <v>20</v>
      </c>
      <c r="L1004" s="6"/>
      <c r="M1004" s="6">
        <f t="shared" si="94"/>
        <v>20</v>
      </c>
      <c r="N1004" s="8" t="s">
        <v>2934</v>
      </c>
      <c r="O1004" s="149"/>
    </row>
    <row r="1005" spans="1:15" s="9" customFormat="1" ht="16.5" customHeight="1">
      <c r="A1005" s="2">
        <v>59</v>
      </c>
      <c r="B1005" s="3">
        <v>21</v>
      </c>
      <c r="C1005" s="3">
        <v>941</v>
      </c>
      <c r="D1005" s="3" t="s">
        <v>33</v>
      </c>
      <c r="E1005" s="3"/>
      <c r="F1005" s="4"/>
      <c r="G1005" s="5" t="s">
        <v>688</v>
      </c>
      <c r="H1005" s="4" t="s">
        <v>689</v>
      </c>
      <c r="I1005" s="3" t="s">
        <v>2669</v>
      </c>
      <c r="J1005" s="3" t="s">
        <v>28</v>
      </c>
      <c r="K1005" s="6">
        <f>3+25</f>
        <v>28</v>
      </c>
      <c r="L1005" s="6"/>
      <c r="M1005" s="6">
        <f t="shared" si="94"/>
        <v>28</v>
      </c>
      <c r="N1005" s="8" t="s">
        <v>2934</v>
      </c>
      <c r="O1005" s="149"/>
    </row>
    <row r="1006" spans="1:15" s="9" customFormat="1" ht="16.5" customHeight="1">
      <c r="A1006" s="2">
        <v>59</v>
      </c>
      <c r="B1006" s="3">
        <v>22</v>
      </c>
      <c r="C1006" s="3">
        <v>942</v>
      </c>
      <c r="D1006" s="3" t="s">
        <v>14</v>
      </c>
      <c r="E1006" s="3"/>
      <c r="F1006" s="4"/>
      <c r="G1006" s="5" t="s">
        <v>690</v>
      </c>
      <c r="H1006" s="4" t="s">
        <v>691</v>
      </c>
      <c r="I1006" s="3" t="s">
        <v>2670</v>
      </c>
      <c r="J1006" s="3" t="s">
        <v>692</v>
      </c>
      <c r="K1006" s="6">
        <v>2500</v>
      </c>
      <c r="L1006" s="6"/>
      <c r="M1006" s="6">
        <f t="shared" si="94"/>
        <v>2500</v>
      </c>
      <c r="N1006" s="8" t="s">
        <v>2934</v>
      </c>
      <c r="O1006" s="149"/>
    </row>
    <row r="1007" spans="1:15" s="9" customFormat="1" ht="16.5" customHeight="1">
      <c r="A1007" s="2">
        <v>59</v>
      </c>
      <c r="B1007" s="3">
        <v>23</v>
      </c>
      <c r="C1007" s="3">
        <v>943</v>
      </c>
      <c r="D1007" s="3"/>
      <c r="E1007" s="3" t="s">
        <v>488</v>
      </c>
      <c r="F1007" s="4"/>
      <c r="G1007" s="5" t="s">
        <v>1882</v>
      </c>
      <c r="H1007" s="4" t="s">
        <v>1881</v>
      </c>
      <c r="I1007" s="3" t="s">
        <v>2666</v>
      </c>
      <c r="J1007" s="3" t="s">
        <v>85</v>
      </c>
      <c r="K1007" s="6"/>
      <c r="L1007" s="6">
        <v>30</v>
      </c>
      <c r="M1007" s="6">
        <f t="shared" si="94"/>
        <v>30</v>
      </c>
      <c r="N1007" s="8" t="s">
        <v>2934</v>
      </c>
      <c r="O1007" s="149"/>
    </row>
    <row r="1008" spans="1:15" s="9" customFormat="1" ht="16.5" customHeight="1">
      <c r="A1008" s="2">
        <v>59</v>
      </c>
      <c r="B1008" s="3">
        <v>24</v>
      </c>
      <c r="C1008" s="3">
        <v>944</v>
      </c>
      <c r="D1008" s="3"/>
      <c r="E1008" s="3" t="s">
        <v>488</v>
      </c>
      <c r="F1008" s="4" t="s">
        <v>1880</v>
      </c>
      <c r="G1008" s="5" t="s">
        <v>1876</v>
      </c>
      <c r="H1008" s="4" t="s">
        <v>1879</v>
      </c>
      <c r="I1008" s="3" t="s">
        <v>2666</v>
      </c>
      <c r="J1008" s="3" t="s">
        <v>85</v>
      </c>
      <c r="K1008" s="6"/>
      <c r="L1008" s="6">
        <v>150</v>
      </c>
      <c r="M1008" s="6">
        <f t="shared" si="94"/>
        <v>150</v>
      </c>
      <c r="N1008" s="8">
        <v>1990</v>
      </c>
      <c r="O1008" s="149"/>
    </row>
    <row r="1009" spans="1:15" s="9" customFormat="1" ht="16.5" customHeight="1">
      <c r="A1009" s="2">
        <v>59</v>
      </c>
      <c r="B1009" s="3">
        <v>25</v>
      </c>
      <c r="C1009" s="3">
        <v>945</v>
      </c>
      <c r="D1009" s="3"/>
      <c r="E1009" s="3" t="s">
        <v>488</v>
      </c>
      <c r="F1009" s="4" t="s">
        <v>1878</v>
      </c>
      <c r="G1009" s="5" t="s">
        <v>1876</v>
      </c>
      <c r="H1009" s="4" t="s">
        <v>582</v>
      </c>
      <c r="I1009" s="3" t="s">
        <v>2671</v>
      </c>
      <c r="J1009" s="3" t="s">
        <v>85</v>
      </c>
      <c r="K1009" s="6"/>
      <c r="L1009" s="6">
        <v>100</v>
      </c>
      <c r="M1009" s="6">
        <f t="shared" si="94"/>
        <v>100</v>
      </c>
      <c r="N1009" s="8">
        <v>3350</v>
      </c>
      <c r="O1009" s="149"/>
    </row>
    <row r="1010" spans="1:15" s="9" customFormat="1" ht="16.5" customHeight="1">
      <c r="A1010" s="2">
        <v>59</v>
      </c>
      <c r="B1010" s="3">
        <v>26</v>
      </c>
      <c r="C1010" s="3">
        <v>946</v>
      </c>
      <c r="D1010" s="3"/>
      <c r="E1010" s="3" t="s">
        <v>488</v>
      </c>
      <c r="F1010" s="4" t="s">
        <v>1877</v>
      </c>
      <c r="G1010" s="5" t="s">
        <v>1876</v>
      </c>
      <c r="H1010" s="4" t="s">
        <v>1875</v>
      </c>
      <c r="I1010" s="3" t="s">
        <v>2671</v>
      </c>
      <c r="J1010" s="3" t="s">
        <v>85</v>
      </c>
      <c r="K1010" s="6"/>
      <c r="L1010" s="6">
        <v>100</v>
      </c>
      <c r="M1010" s="6">
        <f t="shared" si="94"/>
        <v>100</v>
      </c>
      <c r="N1010" s="8">
        <v>4550</v>
      </c>
      <c r="O1010" s="149"/>
    </row>
    <row r="1011" spans="1:15" s="9" customFormat="1" ht="16.5" customHeight="1">
      <c r="A1011" s="2">
        <v>59</v>
      </c>
      <c r="B1011" s="3">
        <v>27</v>
      </c>
      <c r="C1011" s="3">
        <v>947</v>
      </c>
      <c r="D1011" s="3"/>
      <c r="E1011" s="3" t="s">
        <v>488</v>
      </c>
      <c r="F1011" s="4"/>
      <c r="G1011" s="5" t="s">
        <v>1874</v>
      </c>
      <c r="H1011" s="4" t="s">
        <v>1873</v>
      </c>
      <c r="I1011" s="3" t="s">
        <v>2672</v>
      </c>
      <c r="J1011" s="3" t="s">
        <v>85</v>
      </c>
      <c r="K1011" s="6"/>
      <c r="L1011" s="6">
        <v>10</v>
      </c>
      <c r="M1011" s="6">
        <f t="shared" si="94"/>
        <v>10</v>
      </c>
      <c r="N1011" s="8" t="s">
        <v>2934</v>
      </c>
      <c r="O1011" s="149"/>
    </row>
    <row r="1012" spans="1:15" s="9" customFormat="1" ht="16.5" customHeight="1">
      <c r="A1012" s="2">
        <v>59</v>
      </c>
      <c r="B1012" s="3">
        <v>28</v>
      </c>
      <c r="C1012" s="3">
        <v>948</v>
      </c>
      <c r="D1012" s="3"/>
      <c r="E1012" s="3" t="s">
        <v>488</v>
      </c>
      <c r="F1012" s="4"/>
      <c r="G1012" s="5" t="s">
        <v>1872</v>
      </c>
      <c r="H1012" s="4">
        <v>9270</v>
      </c>
      <c r="I1012" s="3" t="s">
        <v>2666</v>
      </c>
      <c r="J1012" s="3" t="s">
        <v>1871</v>
      </c>
      <c r="K1012" s="6"/>
      <c r="L1012" s="6">
        <v>500</v>
      </c>
      <c r="M1012" s="6">
        <f t="shared" si="94"/>
        <v>500</v>
      </c>
      <c r="N1012" s="8" t="s">
        <v>2934</v>
      </c>
      <c r="O1012" s="149"/>
    </row>
    <row r="1013" spans="1:15" s="9" customFormat="1" ht="16.5" customHeight="1">
      <c r="A1013" s="2">
        <v>59</v>
      </c>
      <c r="B1013" s="3">
        <v>29</v>
      </c>
      <c r="C1013" s="3">
        <v>949</v>
      </c>
      <c r="D1013" s="3" t="s">
        <v>693</v>
      </c>
      <c r="E1013" s="3"/>
      <c r="F1013" s="4"/>
      <c r="G1013" s="5" t="s">
        <v>694</v>
      </c>
      <c r="H1013" s="4" t="s">
        <v>695</v>
      </c>
      <c r="I1013" s="3" t="s">
        <v>2673</v>
      </c>
      <c r="J1013" s="3" t="s">
        <v>85</v>
      </c>
      <c r="K1013" s="6">
        <v>5</v>
      </c>
      <c r="L1013" s="6"/>
      <c r="M1013" s="6">
        <f t="shared" si="94"/>
        <v>5</v>
      </c>
      <c r="N1013" s="8" t="s">
        <v>2934</v>
      </c>
      <c r="O1013" s="149"/>
    </row>
    <row r="1014" spans="1:15" s="9" customFormat="1" ht="16.5" customHeight="1">
      <c r="A1014" s="2">
        <v>59</v>
      </c>
      <c r="B1014" s="3">
        <v>30</v>
      </c>
      <c r="C1014" s="3">
        <v>950</v>
      </c>
      <c r="D1014" s="3" t="s">
        <v>33</v>
      </c>
      <c r="E1014" s="3"/>
      <c r="F1014" s="4"/>
      <c r="G1014" s="5" t="s">
        <v>696</v>
      </c>
      <c r="H1014" s="4" t="s">
        <v>697</v>
      </c>
      <c r="I1014" s="3" t="s">
        <v>2665</v>
      </c>
      <c r="J1014" s="3" t="s">
        <v>23</v>
      </c>
      <c r="K1014" s="6">
        <f>500+300</f>
        <v>800</v>
      </c>
      <c r="L1014" s="6"/>
      <c r="M1014" s="6">
        <f t="shared" si="94"/>
        <v>800</v>
      </c>
      <c r="N1014" s="8" t="s">
        <v>2934</v>
      </c>
      <c r="O1014" s="149"/>
    </row>
    <row r="1015" spans="1:15" s="9" customFormat="1" ht="16.5" customHeight="1">
      <c r="A1015" s="2">
        <v>59</v>
      </c>
      <c r="B1015" s="3">
        <v>31</v>
      </c>
      <c r="C1015" s="3">
        <v>951</v>
      </c>
      <c r="D1015" s="3" t="s">
        <v>33</v>
      </c>
      <c r="E1015" s="3"/>
      <c r="F1015" s="4"/>
      <c r="G1015" s="5" t="s">
        <v>696</v>
      </c>
      <c r="H1015" s="4" t="s">
        <v>698</v>
      </c>
      <c r="I1015" s="3" t="s">
        <v>2666</v>
      </c>
      <c r="J1015" s="3" t="s">
        <v>23</v>
      </c>
      <c r="K1015" s="6">
        <v>300</v>
      </c>
      <c r="L1015" s="6"/>
      <c r="M1015" s="6">
        <f t="shared" si="94"/>
        <v>300</v>
      </c>
      <c r="N1015" s="8" t="s">
        <v>2934</v>
      </c>
      <c r="O1015" s="149"/>
    </row>
    <row r="1016" spans="1:15" s="9" customFormat="1" ht="16.5" customHeight="1">
      <c r="A1016" s="2">
        <v>59</v>
      </c>
      <c r="B1016" s="3">
        <v>32</v>
      </c>
      <c r="C1016" s="3">
        <v>952</v>
      </c>
      <c r="D1016" s="3" t="s">
        <v>75</v>
      </c>
      <c r="E1016" s="3"/>
      <c r="F1016" s="4"/>
      <c r="G1016" s="5" t="s">
        <v>699</v>
      </c>
      <c r="H1016" s="4" t="s">
        <v>700</v>
      </c>
      <c r="I1016" s="3" t="s">
        <v>2674</v>
      </c>
      <c r="J1016" s="3" t="s">
        <v>701</v>
      </c>
      <c r="K1016" s="6">
        <v>15</v>
      </c>
      <c r="L1016" s="6"/>
      <c r="M1016" s="6">
        <f t="shared" si="94"/>
        <v>15</v>
      </c>
      <c r="N1016" s="8" t="s">
        <v>2934</v>
      </c>
      <c r="O1016" s="149"/>
    </row>
    <row r="1017" spans="1:15" s="9" customFormat="1" ht="16.5" customHeight="1">
      <c r="A1017" s="2">
        <v>59</v>
      </c>
      <c r="B1017" s="3">
        <v>33</v>
      </c>
      <c r="C1017" s="3">
        <v>953</v>
      </c>
      <c r="D1017" s="3" t="s">
        <v>33</v>
      </c>
      <c r="E1017" s="3"/>
      <c r="F1017" s="4"/>
      <c r="G1017" s="5" t="s">
        <v>702</v>
      </c>
      <c r="H1017" s="4" t="s">
        <v>703</v>
      </c>
      <c r="I1017" s="3" t="s">
        <v>2675</v>
      </c>
      <c r="J1017" s="3" t="s">
        <v>35</v>
      </c>
      <c r="K1017" s="6">
        <f>30+100</f>
        <v>130</v>
      </c>
      <c r="L1017" s="6"/>
      <c r="M1017" s="6">
        <f t="shared" si="94"/>
        <v>130</v>
      </c>
      <c r="N1017" s="8" t="s">
        <v>2934</v>
      </c>
      <c r="O1017" s="149"/>
    </row>
    <row r="1018" spans="1:15" s="9" customFormat="1" ht="16.5" customHeight="1">
      <c r="A1018" s="2">
        <v>59</v>
      </c>
      <c r="B1018" s="3">
        <v>34</v>
      </c>
      <c r="C1018" s="3">
        <v>954</v>
      </c>
      <c r="D1018" s="3" t="s">
        <v>33</v>
      </c>
      <c r="E1018" s="3"/>
      <c r="F1018" s="4"/>
      <c r="G1018" s="5" t="s">
        <v>704</v>
      </c>
      <c r="H1018" s="4" t="s">
        <v>705</v>
      </c>
      <c r="I1018" s="3" t="s">
        <v>2666</v>
      </c>
      <c r="J1018" s="3" t="s">
        <v>18</v>
      </c>
      <c r="K1018" s="6">
        <f>20+10</f>
        <v>30</v>
      </c>
      <c r="L1018" s="6"/>
      <c r="M1018" s="6">
        <f t="shared" si="94"/>
        <v>30</v>
      </c>
      <c r="N1018" s="8" t="s">
        <v>2934</v>
      </c>
      <c r="O1018" s="149"/>
    </row>
    <row r="1019" spans="1:15" s="9" customFormat="1" ht="16.5" customHeight="1">
      <c r="A1019" s="2">
        <v>59</v>
      </c>
      <c r="B1019" s="3">
        <v>35</v>
      </c>
      <c r="C1019" s="3">
        <v>955</v>
      </c>
      <c r="D1019" s="3"/>
      <c r="E1019" s="3" t="s">
        <v>488</v>
      </c>
      <c r="F1019" s="4"/>
      <c r="G1019" s="5" t="s">
        <v>1868</v>
      </c>
      <c r="H1019" s="4" t="s">
        <v>1867</v>
      </c>
      <c r="I1019" s="3" t="s">
        <v>2665</v>
      </c>
      <c r="J1019" s="3" t="s">
        <v>85</v>
      </c>
      <c r="K1019" s="6"/>
      <c r="L1019" s="6">
        <v>1</v>
      </c>
      <c r="M1019" s="6">
        <f t="shared" si="94"/>
        <v>1</v>
      </c>
      <c r="N1019" s="8" t="s">
        <v>2934</v>
      </c>
      <c r="O1019" s="149"/>
    </row>
    <row r="1020" spans="1:15" s="9" customFormat="1" ht="16.5" customHeight="1">
      <c r="A1020" s="2">
        <v>59</v>
      </c>
      <c r="B1020" s="3">
        <v>36</v>
      </c>
      <c r="C1020" s="3">
        <v>956</v>
      </c>
      <c r="D1020" s="3"/>
      <c r="E1020" s="3" t="s">
        <v>488</v>
      </c>
      <c r="F1020" s="4"/>
      <c r="G1020" s="5" t="s">
        <v>1866</v>
      </c>
      <c r="H1020" s="4" t="s">
        <v>1865</v>
      </c>
      <c r="I1020" s="3" t="s">
        <v>2666</v>
      </c>
      <c r="J1020" s="3" t="s">
        <v>85</v>
      </c>
      <c r="K1020" s="6"/>
      <c r="L1020" s="6">
        <v>1</v>
      </c>
      <c r="M1020" s="6">
        <f t="shared" si="94"/>
        <v>1</v>
      </c>
      <c r="N1020" s="8" t="s">
        <v>2934</v>
      </c>
      <c r="O1020" s="149"/>
    </row>
    <row r="1021" spans="1:15" s="9" customFormat="1" ht="16.5" customHeight="1">
      <c r="A1021" s="2">
        <v>59</v>
      </c>
      <c r="B1021" s="3">
        <v>37</v>
      </c>
      <c r="C1021" s="3">
        <v>957</v>
      </c>
      <c r="D1021" s="3"/>
      <c r="E1021" s="3" t="s">
        <v>488</v>
      </c>
      <c r="F1021" s="4"/>
      <c r="G1021" s="5" t="s">
        <v>1869</v>
      </c>
      <c r="H1021" s="4">
        <v>1294</v>
      </c>
      <c r="I1021" s="3" t="s">
        <v>2666</v>
      </c>
      <c r="J1021" s="3" t="s">
        <v>85</v>
      </c>
      <c r="K1021" s="6"/>
      <c r="L1021" s="6">
        <v>9</v>
      </c>
      <c r="M1021" s="6">
        <f t="shared" si="94"/>
        <v>9</v>
      </c>
      <c r="N1021" s="8" t="s">
        <v>2934</v>
      </c>
      <c r="O1021" s="149"/>
    </row>
    <row r="1022" spans="1:15" s="9" customFormat="1" ht="16.5" customHeight="1">
      <c r="A1022" s="2">
        <v>59</v>
      </c>
      <c r="B1022" s="3">
        <v>38</v>
      </c>
      <c r="C1022" s="3">
        <v>958</v>
      </c>
      <c r="D1022" s="3"/>
      <c r="E1022" s="3" t="s">
        <v>488</v>
      </c>
      <c r="F1022" s="4" t="s">
        <v>1885</v>
      </c>
      <c r="G1022" s="5" t="s">
        <v>1884</v>
      </c>
      <c r="H1022" s="4" t="s">
        <v>1883</v>
      </c>
      <c r="I1022" s="3" t="s">
        <v>2676</v>
      </c>
      <c r="J1022" s="3" t="s">
        <v>85</v>
      </c>
      <c r="K1022" s="6"/>
      <c r="L1022" s="6">
        <v>50</v>
      </c>
      <c r="M1022" s="6">
        <f t="shared" si="94"/>
        <v>50</v>
      </c>
      <c r="N1022" s="8">
        <v>17500</v>
      </c>
      <c r="O1022" s="149"/>
    </row>
    <row r="1023" spans="1:15" s="9" customFormat="1" ht="16.5" customHeight="1">
      <c r="A1023" s="2">
        <v>59</v>
      </c>
      <c r="B1023" s="3">
        <v>39</v>
      </c>
      <c r="C1023" s="3">
        <v>959</v>
      </c>
      <c r="D1023" s="3"/>
      <c r="E1023" s="3" t="s">
        <v>488</v>
      </c>
      <c r="F1023" s="4"/>
      <c r="G1023" s="5" t="s">
        <v>2519</v>
      </c>
      <c r="H1023" s="4"/>
      <c r="I1023" s="3" t="s">
        <v>2677</v>
      </c>
      <c r="J1023" s="3" t="s">
        <v>206</v>
      </c>
      <c r="K1023" s="6"/>
      <c r="L1023" s="6">
        <v>600</v>
      </c>
      <c r="M1023" s="6">
        <f t="shared" si="94"/>
        <v>600</v>
      </c>
      <c r="N1023" s="8" t="s">
        <v>1700</v>
      </c>
      <c r="O1023" s="149"/>
    </row>
    <row r="1024" spans="1:15" s="9" customFormat="1" ht="16.5" customHeight="1">
      <c r="A1024" s="2">
        <v>59</v>
      </c>
      <c r="B1024" s="3">
        <v>40</v>
      </c>
      <c r="C1024" s="3">
        <v>960</v>
      </c>
      <c r="D1024" s="3"/>
      <c r="E1024" s="3" t="s">
        <v>488</v>
      </c>
      <c r="F1024" s="4" t="s">
        <v>1893</v>
      </c>
      <c r="G1024" s="5" t="s">
        <v>1892</v>
      </c>
      <c r="H1024" s="4" t="s">
        <v>1891</v>
      </c>
      <c r="I1024" s="3" t="s">
        <v>2678</v>
      </c>
      <c r="J1024" s="3" t="s">
        <v>85</v>
      </c>
      <c r="K1024" s="6"/>
      <c r="L1024" s="6">
        <v>1</v>
      </c>
      <c r="M1024" s="6">
        <f t="shared" si="94"/>
        <v>1</v>
      </c>
      <c r="N1024" s="8">
        <v>103790</v>
      </c>
      <c r="O1024" s="149"/>
    </row>
    <row r="1025" spans="1:15" s="9" customFormat="1" ht="16.5" customHeight="1">
      <c r="A1025" s="2">
        <v>59</v>
      </c>
      <c r="B1025" s="3">
        <v>41</v>
      </c>
      <c r="C1025" s="3">
        <v>961</v>
      </c>
      <c r="D1025" s="3"/>
      <c r="E1025" s="3" t="s">
        <v>488</v>
      </c>
      <c r="F1025" s="4"/>
      <c r="G1025" s="5" t="s">
        <v>1889</v>
      </c>
      <c r="H1025" s="4" t="s">
        <v>1890</v>
      </c>
      <c r="I1025" s="3" t="s">
        <v>2679</v>
      </c>
      <c r="J1025" s="3" t="s">
        <v>1372</v>
      </c>
      <c r="K1025" s="6"/>
      <c r="L1025" s="6">
        <v>2</v>
      </c>
      <c r="M1025" s="6">
        <f t="shared" si="94"/>
        <v>2</v>
      </c>
      <c r="N1025" s="8" t="s">
        <v>1700</v>
      </c>
      <c r="O1025" s="149"/>
    </row>
    <row r="1026" spans="1:15" s="9" customFormat="1" ht="16.5" customHeight="1">
      <c r="A1026" s="2">
        <v>59</v>
      </c>
      <c r="B1026" s="3">
        <v>42</v>
      </c>
      <c r="C1026" s="3">
        <v>962</v>
      </c>
      <c r="D1026" s="3"/>
      <c r="E1026" s="3" t="s">
        <v>488</v>
      </c>
      <c r="F1026" s="4"/>
      <c r="G1026" s="5" t="s">
        <v>1889</v>
      </c>
      <c r="H1026" s="4" t="s">
        <v>1720</v>
      </c>
      <c r="I1026" s="3" t="s">
        <v>2680</v>
      </c>
      <c r="J1026" s="3" t="s">
        <v>1372</v>
      </c>
      <c r="K1026" s="6"/>
      <c r="L1026" s="6">
        <v>1</v>
      </c>
      <c r="M1026" s="6">
        <f t="shared" si="94"/>
        <v>1</v>
      </c>
      <c r="N1026" s="8" t="s">
        <v>1700</v>
      </c>
      <c r="O1026" s="149"/>
    </row>
    <row r="1027" spans="1:15" s="9" customFormat="1" ht="16.5" customHeight="1">
      <c r="A1027" s="2">
        <v>59</v>
      </c>
      <c r="B1027" s="3">
        <v>43</v>
      </c>
      <c r="C1027" s="3">
        <v>963</v>
      </c>
      <c r="D1027" s="3"/>
      <c r="E1027" s="3" t="s">
        <v>488</v>
      </c>
      <c r="F1027" s="4"/>
      <c r="G1027" s="5" t="s">
        <v>1889</v>
      </c>
      <c r="H1027" s="4" t="s">
        <v>1718</v>
      </c>
      <c r="I1027" s="3" t="s">
        <v>2681</v>
      </c>
      <c r="J1027" s="3" t="s">
        <v>1372</v>
      </c>
      <c r="K1027" s="6"/>
      <c r="L1027" s="6">
        <v>1</v>
      </c>
      <c r="M1027" s="6">
        <f t="shared" si="94"/>
        <v>1</v>
      </c>
      <c r="N1027" s="8" t="s">
        <v>1700</v>
      </c>
      <c r="O1027" s="149"/>
    </row>
    <row r="1028" spans="1:15" s="9" customFormat="1" ht="16.5" customHeight="1">
      <c r="A1028" s="2">
        <v>59</v>
      </c>
      <c r="B1028" s="3">
        <v>44</v>
      </c>
      <c r="C1028" s="3">
        <v>964</v>
      </c>
      <c r="D1028" s="3"/>
      <c r="E1028" s="3" t="s">
        <v>488</v>
      </c>
      <c r="F1028" s="4" t="s">
        <v>1888</v>
      </c>
      <c r="G1028" s="5" t="s">
        <v>1887</v>
      </c>
      <c r="H1028" s="4" t="s">
        <v>1886</v>
      </c>
      <c r="I1028" s="3" t="s">
        <v>2682</v>
      </c>
      <c r="J1028" s="3" t="s">
        <v>85</v>
      </c>
      <c r="K1028" s="6"/>
      <c r="L1028" s="6">
        <v>100</v>
      </c>
      <c r="M1028" s="6">
        <f t="shared" si="94"/>
        <v>100</v>
      </c>
      <c r="N1028" s="8">
        <v>1560</v>
      </c>
      <c r="O1028" s="149"/>
    </row>
    <row r="1029" spans="1:15" s="9" customFormat="1" ht="16.5" customHeight="1">
      <c r="A1029" s="2">
        <v>59</v>
      </c>
      <c r="B1029" s="3">
        <v>45</v>
      </c>
      <c r="C1029" s="3">
        <v>965</v>
      </c>
      <c r="D1029" s="3" t="s">
        <v>75</v>
      </c>
      <c r="E1029" s="3"/>
      <c r="F1029" s="4"/>
      <c r="G1029" s="5" t="s">
        <v>706</v>
      </c>
      <c r="H1029" s="4" t="s">
        <v>707</v>
      </c>
      <c r="I1029" s="3" t="s">
        <v>2683</v>
      </c>
      <c r="J1029" s="3" t="s">
        <v>402</v>
      </c>
      <c r="K1029" s="6">
        <v>20</v>
      </c>
      <c r="L1029" s="6"/>
      <c r="M1029" s="6">
        <f t="shared" si="94"/>
        <v>20</v>
      </c>
      <c r="N1029" s="8" t="s">
        <v>2934</v>
      </c>
      <c r="O1029" s="149"/>
    </row>
    <row r="1030" spans="1:15" s="9" customFormat="1" ht="16.5" customHeight="1">
      <c r="A1030" s="2">
        <v>59</v>
      </c>
      <c r="B1030" s="3">
        <v>46</v>
      </c>
      <c r="C1030" s="3">
        <v>966</v>
      </c>
      <c r="D1030" s="3" t="s">
        <v>75</v>
      </c>
      <c r="E1030" s="3" t="s">
        <v>1705</v>
      </c>
      <c r="F1030" s="4" t="s">
        <v>708</v>
      </c>
      <c r="G1030" s="5" t="s">
        <v>1864</v>
      </c>
      <c r="H1030" s="4">
        <v>9680</v>
      </c>
      <c r="I1030" s="3" t="s">
        <v>2672</v>
      </c>
      <c r="J1030" s="3" t="s">
        <v>85</v>
      </c>
      <c r="K1030" s="6">
        <v>2</v>
      </c>
      <c r="L1030" s="6">
        <v>100</v>
      </c>
      <c r="M1030" s="6">
        <f t="shared" si="94"/>
        <v>102</v>
      </c>
      <c r="N1030" s="8">
        <v>3530</v>
      </c>
      <c r="O1030" s="149"/>
    </row>
    <row r="1031" spans="1:15" s="9" customFormat="1" ht="16.5" customHeight="1">
      <c r="A1031" s="2">
        <v>59</v>
      </c>
      <c r="B1031" s="3">
        <v>47</v>
      </c>
      <c r="C1031" s="3">
        <v>967</v>
      </c>
      <c r="D1031" s="3" t="s">
        <v>75</v>
      </c>
      <c r="E1031" s="3"/>
      <c r="F1031" s="4"/>
      <c r="G1031" s="5" t="s">
        <v>709</v>
      </c>
      <c r="H1031" s="4" t="s">
        <v>710</v>
      </c>
      <c r="I1031" s="3" t="s">
        <v>2684</v>
      </c>
      <c r="J1031" s="3" t="s">
        <v>671</v>
      </c>
      <c r="K1031" s="6">
        <v>10</v>
      </c>
      <c r="L1031" s="6"/>
      <c r="M1031" s="6">
        <f t="shared" si="94"/>
        <v>10</v>
      </c>
      <c r="N1031" s="8" t="s">
        <v>2934</v>
      </c>
      <c r="O1031" s="149"/>
    </row>
    <row r="1032" spans="1:15" s="9" customFormat="1" ht="16.5" customHeight="1">
      <c r="A1032" s="2">
        <v>59</v>
      </c>
      <c r="B1032" s="3">
        <v>48</v>
      </c>
      <c r="C1032" s="3">
        <v>968</v>
      </c>
      <c r="D1032" s="3" t="s">
        <v>33</v>
      </c>
      <c r="E1032" s="3"/>
      <c r="F1032" s="4"/>
      <c r="G1032" s="5" t="s">
        <v>711</v>
      </c>
      <c r="H1032" s="4" t="s">
        <v>712</v>
      </c>
      <c r="I1032" s="3" t="s">
        <v>2666</v>
      </c>
      <c r="J1032" s="3" t="s">
        <v>13</v>
      </c>
      <c r="K1032" s="6">
        <f>20+20</f>
        <v>40</v>
      </c>
      <c r="L1032" s="6"/>
      <c r="M1032" s="6">
        <f t="shared" si="94"/>
        <v>40</v>
      </c>
      <c r="N1032" s="8" t="s">
        <v>2934</v>
      </c>
      <c r="O1032" s="149"/>
    </row>
    <row r="1033" spans="1:15" s="9" customFormat="1" ht="16.5" customHeight="1">
      <c r="A1033" s="2">
        <v>59</v>
      </c>
      <c r="B1033" s="3">
        <v>49</v>
      </c>
      <c r="C1033" s="3">
        <v>969</v>
      </c>
      <c r="D1033" s="3" t="s">
        <v>33</v>
      </c>
      <c r="E1033" s="3"/>
      <c r="F1033" s="4"/>
      <c r="G1033" s="5" t="s">
        <v>713</v>
      </c>
      <c r="H1033" s="4">
        <v>1298</v>
      </c>
      <c r="I1033" s="3" t="s">
        <v>2666</v>
      </c>
      <c r="J1033" s="3" t="s">
        <v>23</v>
      </c>
      <c r="K1033" s="6">
        <v>300</v>
      </c>
      <c r="L1033" s="6"/>
      <c r="M1033" s="6">
        <f t="shared" si="94"/>
        <v>300</v>
      </c>
      <c r="N1033" s="8" t="s">
        <v>2934</v>
      </c>
      <c r="O1033" s="149"/>
    </row>
    <row r="1034" spans="1:15" s="9" customFormat="1" ht="16.5" customHeight="1">
      <c r="A1034" s="2">
        <v>59</v>
      </c>
      <c r="B1034" s="3">
        <v>50</v>
      </c>
      <c r="C1034" s="3">
        <v>970</v>
      </c>
      <c r="D1034" s="3" t="s">
        <v>33</v>
      </c>
      <c r="E1034" s="3"/>
      <c r="F1034" s="4"/>
      <c r="G1034" s="5" t="s">
        <v>714</v>
      </c>
      <c r="H1034" s="4" t="s">
        <v>715</v>
      </c>
      <c r="I1034" s="3" t="s">
        <v>2671</v>
      </c>
      <c r="J1034" s="3" t="s">
        <v>13</v>
      </c>
      <c r="K1034" s="6">
        <f>2+10</f>
        <v>12</v>
      </c>
      <c r="L1034" s="6"/>
      <c r="M1034" s="6">
        <f t="shared" si="94"/>
        <v>12</v>
      </c>
      <c r="N1034" s="8" t="s">
        <v>2934</v>
      </c>
      <c r="O1034" s="149"/>
    </row>
    <row r="1035" spans="1:15" s="9" customFormat="1" ht="16.5" customHeight="1">
      <c r="A1035" s="2">
        <v>59</v>
      </c>
      <c r="B1035" s="3">
        <v>51</v>
      </c>
      <c r="C1035" s="3">
        <v>971</v>
      </c>
      <c r="D1035" s="3" t="s">
        <v>75</v>
      </c>
      <c r="E1035" s="3"/>
      <c r="F1035" s="4"/>
      <c r="G1035" s="5" t="s">
        <v>716</v>
      </c>
      <c r="H1035" s="4">
        <v>6640</v>
      </c>
      <c r="I1035" s="3" t="s">
        <v>2671</v>
      </c>
      <c r="J1035" s="3" t="s">
        <v>79</v>
      </c>
      <c r="K1035" s="6">
        <v>60</v>
      </c>
      <c r="L1035" s="6"/>
      <c r="M1035" s="6">
        <f t="shared" si="94"/>
        <v>60</v>
      </c>
      <c r="N1035" s="8" t="s">
        <v>2934</v>
      </c>
      <c r="O1035" s="149"/>
    </row>
    <row r="1036" spans="1:15" s="9" customFormat="1" ht="16.5" customHeight="1">
      <c r="A1036" s="2">
        <v>59</v>
      </c>
      <c r="B1036" s="3">
        <v>52</v>
      </c>
      <c r="C1036" s="3">
        <v>972</v>
      </c>
      <c r="D1036" s="3" t="s">
        <v>425</v>
      </c>
      <c r="E1036" s="3"/>
      <c r="F1036" s="4"/>
      <c r="G1036" s="5" t="s">
        <v>717</v>
      </c>
      <c r="H1036" s="4">
        <v>6650</v>
      </c>
      <c r="I1036" s="3" t="s">
        <v>2671</v>
      </c>
      <c r="J1036" s="3" t="s">
        <v>79</v>
      </c>
      <c r="K1036" s="6">
        <v>60</v>
      </c>
      <c r="L1036" s="6">
        <v>180</v>
      </c>
      <c r="M1036" s="6">
        <f t="shared" si="94"/>
        <v>240</v>
      </c>
      <c r="N1036" s="8" t="s">
        <v>2934</v>
      </c>
      <c r="O1036" s="149"/>
    </row>
    <row r="1037" spans="1:15" s="9" customFormat="1" ht="16.5" customHeight="1">
      <c r="A1037" s="2">
        <v>59</v>
      </c>
      <c r="B1037" s="3">
        <v>53</v>
      </c>
      <c r="C1037" s="3">
        <v>973</v>
      </c>
      <c r="D1037" s="3" t="s">
        <v>33</v>
      </c>
      <c r="E1037" s="3" t="s">
        <v>488</v>
      </c>
      <c r="F1037" s="4"/>
      <c r="G1037" s="5" t="s">
        <v>1861</v>
      </c>
      <c r="H1037" s="4" t="s">
        <v>718</v>
      </c>
      <c r="I1037" s="3" t="s">
        <v>2665</v>
      </c>
      <c r="J1037" s="3" t="s">
        <v>35</v>
      </c>
      <c r="K1037" s="6">
        <f>1+4</f>
        <v>5</v>
      </c>
      <c r="L1037" s="6">
        <v>1</v>
      </c>
      <c r="M1037" s="6">
        <f t="shared" si="94"/>
        <v>6</v>
      </c>
      <c r="N1037" s="8" t="s">
        <v>2934</v>
      </c>
      <c r="O1037" s="149"/>
    </row>
    <row r="1038" spans="1:15" s="9" customFormat="1">
      <c r="A1038" s="2">
        <v>59</v>
      </c>
      <c r="B1038" s="3">
        <v>54</v>
      </c>
      <c r="C1038" s="3">
        <v>974</v>
      </c>
      <c r="D1038" s="3" t="s">
        <v>33</v>
      </c>
      <c r="E1038" s="3"/>
      <c r="F1038" s="4" t="s">
        <v>719</v>
      </c>
      <c r="G1038" s="5" t="s">
        <v>720</v>
      </c>
      <c r="H1038" s="4" t="s">
        <v>721</v>
      </c>
      <c r="I1038" s="3" t="s">
        <v>2685</v>
      </c>
      <c r="J1038" s="3" t="s">
        <v>35</v>
      </c>
      <c r="K1038" s="6">
        <v>700</v>
      </c>
      <c r="L1038" s="6"/>
      <c r="M1038" s="6">
        <f t="shared" si="94"/>
        <v>700</v>
      </c>
      <c r="N1038" s="8">
        <v>11540</v>
      </c>
      <c r="O1038" s="149"/>
    </row>
    <row r="1039" spans="1:15" s="9" customFormat="1" ht="16.5" customHeight="1">
      <c r="A1039" s="2">
        <v>59</v>
      </c>
      <c r="B1039" s="3">
        <v>55</v>
      </c>
      <c r="C1039" s="3">
        <v>975</v>
      </c>
      <c r="D1039" s="3" t="s">
        <v>33</v>
      </c>
      <c r="E1039" s="3"/>
      <c r="F1039" s="4"/>
      <c r="G1039" s="5" t="s">
        <v>722</v>
      </c>
      <c r="H1039" s="4" t="s">
        <v>723</v>
      </c>
      <c r="I1039" s="3" t="s">
        <v>2666</v>
      </c>
      <c r="J1039" s="3" t="s">
        <v>13</v>
      </c>
      <c r="K1039" s="6">
        <f>2+10</f>
        <v>12</v>
      </c>
      <c r="L1039" s="6">
        <v>6</v>
      </c>
      <c r="M1039" s="6">
        <f t="shared" ref="M1039:M1047" si="95">K1039+L1039</f>
        <v>18</v>
      </c>
      <c r="N1039" s="8" t="s">
        <v>2934</v>
      </c>
      <c r="O1039" s="149"/>
    </row>
    <row r="1040" spans="1:15" s="9" customFormat="1" ht="16.5" customHeight="1">
      <c r="A1040" s="2">
        <v>59</v>
      </c>
      <c r="B1040" s="3">
        <v>56</v>
      </c>
      <c r="C1040" s="3">
        <v>976</v>
      </c>
      <c r="D1040" s="3" t="s">
        <v>33</v>
      </c>
      <c r="E1040" s="3"/>
      <c r="F1040" s="4"/>
      <c r="G1040" s="5" t="s">
        <v>722</v>
      </c>
      <c r="H1040" s="4" t="s">
        <v>724</v>
      </c>
      <c r="I1040" s="3" t="s">
        <v>2665</v>
      </c>
      <c r="J1040" s="3" t="s">
        <v>13</v>
      </c>
      <c r="K1040" s="6">
        <f>2+5</f>
        <v>7</v>
      </c>
      <c r="L1040" s="6">
        <v>6</v>
      </c>
      <c r="M1040" s="6">
        <f t="shared" si="95"/>
        <v>13</v>
      </c>
      <c r="N1040" s="8" t="s">
        <v>2934</v>
      </c>
      <c r="O1040" s="149"/>
    </row>
    <row r="1041" spans="1:15" s="9" customFormat="1" ht="16.5" customHeight="1">
      <c r="A1041" s="2">
        <v>59</v>
      </c>
      <c r="B1041" s="3">
        <v>57</v>
      </c>
      <c r="C1041" s="3">
        <v>977</v>
      </c>
      <c r="D1041" s="3"/>
      <c r="E1041" s="3" t="s">
        <v>488</v>
      </c>
      <c r="F1041" s="4" t="s">
        <v>725</v>
      </c>
      <c r="G1041" s="5" t="s">
        <v>1863</v>
      </c>
      <c r="H1041" s="4" t="s">
        <v>1862</v>
      </c>
      <c r="I1041" s="3" t="s">
        <v>2675</v>
      </c>
      <c r="J1041" s="3" t="s">
        <v>85</v>
      </c>
      <c r="K1041" s="6"/>
      <c r="L1041" s="6">
        <v>100</v>
      </c>
      <c r="M1041" s="6">
        <f t="shared" si="95"/>
        <v>100</v>
      </c>
      <c r="N1041" s="8">
        <v>1370</v>
      </c>
      <c r="O1041" s="149"/>
    </row>
    <row r="1042" spans="1:15" s="9" customFormat="1">
      <c r="A1042" s="2">
        <v>59</v>
      </c>
      <c r="B1042" s="3">
        <v>58</v>
      </c>
      <c r="C1042" s="3">
        <v>978</v>
      </c>
      <c r="D1042" s="3" t="s">
        <v>33</v>
      </c>
      <c r="E1042" s="3"/>
      <c r="F1042" s="4" t="s">
        <v>725</v>
      </c>
      <c r="G1042" s="5" t="s">
        <v>726</v>
      </c>
      <c r="H1042" s="4">
        <v>1546</v>
      </c>
      <c r="I1042" s="3" t="s">
        <v>2675</v>
      </c>
      <c r="J1042" s="3" t="s">
        <v>28</v>
      </c>
      <c r="K1042" s="6">
        <f>5+5</f>
        <v>10</v>
      </c>
      <c r="L1042" s="6"/>
      <c r="M1042" s="6">
        <f t="shared" si="95"/>
        <v>10</v>
      </c>
      <c r="N1042" s="8">
        <v>1370</v>
      </c>
      <c r="O1042" s="149"/>
    </row>
    <row r="1043" spans="1:15" s="9" customFormat="1" ht="16.5" customHeight="1">
      <c r="A1043" s="2">
        <v>59</v>
      </c>
      <c r="B1043" s="3">
        <v>59</v>
      </c>
      <c r="C1043" s="3">
        <v>979</v>
      </c>
      <c r="D1043" s="3" t="s">
        <v>75</v>
      </c>
      <c r="E1043" s="3"/>
      <c r="F1043" s="4"/>
      <c r="G1043" s="5" t="s">
        <v>727</v>
      </c>
      <c r="H1043" s="4">
        <v>1050</v>
      </c>
      <c r="I1043" s="3" t="s">
        <v>2675</v>
      </c>
      <c r="J1043" s="3" t="s">
        <v>79</v>
      </c>
      <c r="K1043" s="6">
        <v>50</v>
      </c>
      <c r="L1043" s="6"/>
      <c r="M1043" s="6">
        <f t="shared" si="95"/>
        <v>50</v>
      </c>
      <c r="N1043" s="8" t="s">
        <v>2934</v>
      </c>
      <c r="O1043" s="149"/>
    </row>
    <row r="1044" spans="1:15" s="9" customFormat="1" ht="16.5" customHeight="1">
      <c r="A1044" s="2">
        <v>59</v>
      </c>
      <c r="B1044" s="3">
        <v>60</v>
      </c>
      <c r="C1044" s="3">
        <v>980</v>
      </c>
      <c r="D1044" s="3" t="s">
        <v>14</v>
      </c>
      <c r="E1044" s="3"/>
      <c r="F1044" s="4"/>
      <c r="G1044" s="5" t="s">
        <v>728</v>
      </c>
      <c r="H1044" s="4" t="s">
        <v>729</v>
      </c>
      <c r="I1044" s="3" t="s">
        <v>2686</v>
      </c>
      <c r="J1044" s="3" t="s">
        <v>730</v>
      </c>
      <c r="K1044" s="6">
        <v>15</v>
      </c>
      <c r="L1044" s="6"/>
      <c r="M1044" s="6">
        <f t="shared" si="95"/>
        <v>15</v>
      </c>
      <c r="N1044" s="8" t="s">
        <v>2934</v>
      </c>
      <c r="O1044" s="149"/>
    </row>
    <row r="1045" spans="1:15" s="9" customFormat="1" ht="16.5" customHeight="1">
      <c r="A1045" s="2">
        <v>59</v>
      </c>
      <c r="B1045" s="3">
        <v>61</v>
      </c>
      <c r="C1045" s="3">
        <v>981</v>
      </c>
      <c r="D1045" s="3" t="s">
        <v>14</v>
      </c>
      <c r="E1045" s="3"/>
      <c r="F1045" s="4"/>
      <c r="G1045" s="5" t="s">
        <v>731</v>
      </c>
      <c r="H1045" s="4" t="s">
        <v>732</v>
      </c>
      <c r="I1045" s="3" t="s">
        <v>2687</v>
      </c>
      <c r="J1045" s="3" t="s">
        <v>13</v>
      </c>
      <c r="K1045" s="6">
        <v>10</v>
      </c>
      <c r="L1045" s="6"/>
      <c r="M1045" s="6">
        <f t="shared" si="95"/>
        <v>10</v>
      </c>
      <c r="N1045" s="8" t="s">
        <v>2934</v>
      </c>
      <c r="O1045" s="149"/>
    </row>
    <row r="1046" spans="1:15" s="9" customFormat="1" ht="16.5" customHeight="1">
      <c r="A1046" s="2">
        <v>59</v>
      </c>
      <c r="B1046" s="3">
        <v>62</v>
      </c>
      <c r="C1046" s="3">
        <v>982</v>
      </c>
      <c r="D1046" s="3"/>
      <c r="E1046" s="3" t="s">
        <v>488</v>
      </c>
      <c r="F1046" s="4"/>
      <c r="G1046" s="5" t="s">
        <v>1860</v>
      </c>
      <c r="H1046" s="4" t="s">
        <v>1859</v>
      </c>
      <c r="I1046" s="3" t="s">
        <v>2666</v>
      </c>
      <c r="J1046" s="3" t="s">
        <v>85</v>
      </c>
      <c r="K1046" s="6"/>
      <c r="L1046" s="6">
        <v>15</v>
      </c>
      <c r="M1046" s="6">
        <f t="shared" si="95"/>
        <v>15</v>
      </c>
      <c r="N1046" s="8" t="s">
        <v>2934</v>
      </c>
      <c r="O1046" s="149"/>
    </row>
    <row r="1047" spans="1:15" s="9" customFormat="1" ht="16.5" customHeight="1">
      <c r="A1047" s="2">
        <v>59</v>
      </c>
      <c r="B1047" s="3">
        <v>63</v>
      </c>
      <c r="C1047" s="3">
        <v>983</v>
      </c>
      <c r="D1047" s="3" t="s">
        <v>626</v>
      </c>
      <c r="E1047" s="3"/>
      <c r="F1047" s="4"/>
      <c r="G1047" s="18" t="s">
        <v>733</v>
      </c>
      <c r="H1047" s="4" t="s">
        <v>734</v>
      </c>
      <c r="I1047" s="4" t="s">
        <v>735</v>
      </c>
      <c r="J1047" s="3" t="s">
        <v>28</v>
      </c>
      <c r="K1047" s="23">
        <v>50</v>
      </c>
      <c r="L1047" s="23"/>
      <c r="M1047" s="6">
        <f t="shared" si="95"/>
        <v>50</v>
      </c>
      <c r="N1047" s="8" t="s">
        <v>2934</v>
      </c>
      <c r="O1047" s="149"/>
    </row>
    <row r="1048" spans="1:15" s="9" customFormat="1" ht="16.5" customHeight="1">
      <c r="A1048" s="13"/>
      <c r="B1048" s="14"/>
      <c r="C1048" s="14"/>
      <c r="D1048" s="14"/>
      <c r="E1048" s="14"/>
      <c r="F1048" s="15"/>
      <c r="G1048" s="16"/>
      <c r="H1048" s="15"/>
      <c r="I1048" s="15"/>
      <c r="J1048" s="14"/>
      <c r="K1048" s="157">
        <f>SUM(K985:K1047)</f>
        <v>7049</v>
      </c>
      <c r="L1048" s="157">
        <f t="shared" ref="L1048:M1048" si="96">SUM(L985:L1047)</f>
        <v>2065</v>
      </c>
      <c r="M1048" s="157">
        <f t="shared" si="96"/>
        <v>9114</v>
      </c>
      <c r="N1048" s="17"/>
      <c r="O1048" s="145"/>
    </row>
    <row r="1049" spans="1:15" s="9" customFormat="1" ht="16.5" customHeight="1">
      <c r="A1049" s="2">
        <v>60</v>
      </c>
      <c r="B1049" s="3">
        <v>1</v>
      </c>
      <c r="C1049" s="3">
        <v>984</v>
      </c>
      <c r="D1049" s="3" t="s">
        <v>1085</v>
      </c>
      <c r="E1049" s="3"/>
      <c r="F1049" s="4" t="s">
        <v>1086</v>
      </c>
      <c r="G1049" s="5" t="s">
        <v>1087</v>
      </c>
      <c r="H1049" s="4" t="s">
        <v>1088</v>
      </c>
      <c r="I1049" s="3" t="s">
        <v>2778</v>
      </c>
      <c r="J1049" s="3" t="s">
        <v>1089</v>
      </c>
      <c r="K1049" s="6">
        <v>5</v>
      </c>
      <c r="L1049" s="6"/>
      <c r="M1049" s="6">
        <f t="shared" ref="M1049:M1065" si="97">K1049+L1049</f>
        <v>5</v>
      </c>
      <c r="N1049" s="8">
        <f>10990*88</f>
        <v>967120</v>
      </c>
      <c r="O1049" s="149" t="s">
        <v>1090</v>
      </c>
    </row>
    <row r="1050" spans="1:15" s="9" customFormat="1" ht="16.5" customHeight="1">
      <c r="A1050" s="2">
        <v>60</v>
      </c>
      <c r="B1050" s="3">
        <v>2</v>
      </c>
      <c r="C1050" s="3">
        <v>985</v>
      </c>
      <c r="D1050" s="3" t="s">
        <v>1085</v>
      </c>
      <c r="E1050" s="3"/>
      <c r="F1050" s="4" t="s">
        <v>1086</v>
      </c>
      <c r="G1050" s="5" t="s">
        <v>1091</v>
      </c>
      <c r="H1050" s="4" t="s">
        <v>1092</v>
      </c>
      <c r="I1050" s="3" t="s">
        <v>2779</v>
      </c>
      <c r="J1050" s="3" t="s">
        <v>1089</v>
      </c>
      <c r="K1050" s="6">
        <v>5</v>
      </c>
      <c r="L1050" s="6"/>
      <c r="M1050" s="6">
        <f t="shared" si="97"/>
        <v>5</v>
      </c>
      <c r="N1050" s="8">
        <f>10990*88</f>
        <v>967120</v>
      </c>
      <c r="O1050" s="149" t="s">
        <v>1093</v>
      </c>
    </row>
    <row r="1051" spans="1:15" s="9" customFormat="1" ht="16.5" customHeight="1">
      <c r="A1051" s="2">
        <v>60</v>
      </c>
      <c r="B1051" s="3">
        <v>3</v>
      </c>
      <c r="C1051" s="3">
        <v>986</v>
      </c>
      <c r="D1051" s="3"/>
      <c r="E1051" s="3" t="s">
        <v>1085</v>
      </c>
      <c r="F1051" s="4"/>
      <c r="G1051" s="5" t="s">
        <v>2046</v>
      </c>
      <c r="H1051" s="4"/>
      <c r="I1051" s="3" t="s">
        <v>2778</v>
      </c>
      <c r="J1051" s="3" t="s">
        <v>85</v>
      </c>
      <c r="K1051" s="6"/>
      <c r="L1051" s="6">
        <v>2</v>
      </c>
      <c r="M1051" s="6">
        <f t="shared" si="97"/>
        <v>2</v>
      </c>
      <c r="N1051" s="8" t="s">
        <v>1927</v>
      </c>
      <c r="O1051" s="149" t="s">
        <v>2045</v>
      </c>
    </row>
    <row r="1052" spans="1:15" s="9" customFormat="1" ht="16.5" customHeight="1">
      <c r="A1052" s="2">
        <v>60</v>
      </c>
      <c r="B1052" s="3">
        <v>4</v>
      </c>
      <c r="C1052" s="3">
        <v>987</v>
      </c>
      <c r="D1052" s="3" t="s">
        <v>1085</v>
      </c>
      <c r="E1052" s="3"/>
      <c r="F1052" s="4" t="s">
        <v>1094</v>
      </c>
      <c r="G1052" s="5" t="s">
        <v>1095</v>
      </c>
      <c r="H1052" s="4" t="s">
        <v>1096</v>
      </c>
      <c r="I1052" s="3" t="s">
        <v>2779</v>
      </c>
      <c r="J1052" s="3" t="s">
        <v>1097</v>
      </c>
      <c r="K1052" s="6">
        <v>10</v>
      </c>
      <c r="L1052" s="6"/>
      <c r="M1052" s="6">
        <f t="shared" si="97"/>
        <v>10</v>
      </c>
      <c r="N1052" s="8">
        <f>11280*40</f>
        <v>451200</v>
      </c>
      <c r="O1052" s="149" t="s">
        <v>1098</v>
      </c>
    </row>
    <row r="1053" spans="1:15" s="9" customFormat="1" ht="16.5" customHeight="1">
      <c r="A1053" s="2">
        <v>60</v>
      </c>
      <c r="B1053" s="3">
        <v>5</v>
      </c>
      <c r="C1053" s="3">
        <v>988</v>
      </c>
      <c r="D1053" s="3"/>
      <c r="E1053" s="3" t="s">
        <v>1085</v>
      </c>
      <c r="F1053" s="4" t="s">
        <v>2039</v>
      </c>
      <c r="G1053" s="5" t="s">
        <v>2038</v>
      </c>
      <c r="H1053" s="4" t="s">
        <v>2037</v>
      </c>
      <c r="I1053" s="3" t="s">
        <v>2778</v>
      </c>
      <c r="J1053" s="3" t="s">
        <v>85</v>
      </c>
      <c r="K1053" s="6"/>
      <c r="L1053" s="6">
        <v>120</v>
      </c>
      <c r="M1053" s="6">
        <f t="shared" si="97"/>
        <v>120</v>
      </c>
      <c r="N1053" s="8">
        <v>11280</v>
      </c>
      <c r="O1053" s="149"/>
    </row>
    <row r="1054" spans="1:15" s="9" customFormat="1" ht="16.5" customHeight="1">
      <c r="A1054" s="2">
        <v>60</v>
      </c>
      <c r="B1054" s="3">
        <v>6</v>
      </c>
      <c r="C1054" s="3">
        <v>989</v>
      </c>
      <c r="D1054" s="3" t="s">
        <v>1099</v>
      </c>
      <c r="E1054" s="3" t="s">
        <v>1085</v>
      </c>
      <c r="F1054" s="4" t="s">
        <v>1100</v>
      </c>
      <c r="G1054" s="5" t="s">
        <v>2040</v>
      </c>
      <c r="H1054" s="4" t="s">
        <v>1101</v>
      </c>
      <c r="I1054" s="3" t="s">
        <v>2778</v>
      </c>
      <c r="J1054" s="3" t="s">
        <v>28</v>
      </c>
      <c r="K1054" s="6">
        <v>200</v>
      </c>
      <c r="L1054" s="6">
        <v>20</v>
      </c>
      <c r="M1054" s="6">
        <f t="shared" si="97"/>
        <v>220</v>
      </c>
      <c r="N1054" s="8">
        <v>45600</v>
      </c>
      <c r="O1054" s="149"/>
    </row>
    <row r="1055" spans="1:15" s="9" customFormat="1" ht="16.5" customHeight="1">
      <c r="A1055" s="2">
        <v>60</v>
      </c>
      <c r="B1055" s="3">
        <v>7</v>
      </c>
      <c r="C1055" s="3">
        <v>990</v>
      </c>
      <c r="D1055" s="3" t="s">
        <v>1085</v>
      </c>
      <c r="E1055" s="3"/>
      <c r="F1055" s="4" t="s">
        <v>1102</v>
      </c>
      <c r="G1055" s="5" t="s">
        <v>1103</v>
      </c>
      <c r="H1055" s="4" t="s">
        <v>1104</v>
      </c>
      <c r="I1055" s="3" t="s">
        <v>2778</v>
      </c>
      <c r="J1055" s="3" t="s">
        <v>28</v>
      </c>
      <c r="K1055" s="6">
        <v>2000</v>
      </c>
      <c r="L1055" s="6"/>
      <c r="M1055" s="6">
        <f t="shared" si="97"/>
        <v>2000</v>
      </c>
      <c r="N1055" s="8">
        <v>22000</v>
      </c>
      <c r="O1055" s="149" t="s">
        <v>1105</v>
      </c>
    </row>
    <row r="1056" spans="1:15" s="9" customFormat="1" ht="16.5" customHeight="1">
      <c r="A1056" s="2">
        <v>60</v>
      </c>
      <c r="B1056" s="3">
        <v>8</v>
      </c>
      <c r="C1056" s="3">
        <v>991</v>
      </c>
      <c r="D1056" s="3"/>
      <c r="E1056" s="3" t="s">
        <v>1929</v>
      </c>
      <c r="F1056" s="4" t="s">
        <v>2044</v>
      </c>
      <c r="G1056" s="5" t="s">
        <v>2043</v>
      </c>
      <c r="H1056" s="4" t="s">
        <v>2042</v>
      </c>
      <c r="I1056" s="3" t="s">
        <v>2780</v>
      </c>
      <c r="J1056" s="3" t="s">
        <v>85</v>
      </c>
      <c r="K1056" s="6"/>
      <c r="L1056" s="6">
        <f>2500+1300</f>
        <v>3800</v>
      </c>
      <c r="M1056" s="6">
        <f t="shared" si="97"/>
        <v>3800</v>
      </c>
      <c r="N1056" s="8">
        <v>22000</v>
      </c>
      <c r="O1056" s="149"/>
    </row>
    <row r="1057" spans="1:15" s="9" customFormat="1" ht="16.5" customHeight="1">
      <c r="A1057" s="2">
        <v>60</v>
      </c>
      <c r="B1057" s="3">
        <v>9</v>
      </c>
      <c r="C1057" s="3">
        <v>992</v>
      </c>
      <c r="D1057" s="3"/>
      <c r="E1057" s="3" t="s">
        <v>1085</v>
      </c>
      <c r="F1057" s="4"/>
      <c r="G1057" s="5" t="s">
        <v>2041</v>
      </c>
      <c r="H1057" s="4" t="s">
        <v>1927</v>
      </c>
      <c r="I1057" s="3" t="s">
        <v>2779</v>
      </c>
      <c r="J1057" s="3" t="s">
        <v>85</v>
      </c>
      <c r="K1057" s="6"/>
      <c r="L1057" s="6">
        <v>25</v>
      </c>
      <c r="M1057" s="6">
        <f t="shared" si="97"/>
        <v>25</v>
      </c>
      <c r="N1057" s="8" t="s">
        <v>1700</v>
      </c>
      <c r="O1057" s="149"/>
    </row>
    <row r="1058" spans="1:15" s="9" customFormat="1" ht="16.5" customHeight="1">
      <c r="A1058" s="2">
        <v>60</v>
      </c>
      <c r="B1058" s="3">
        <v>10</v>
      </c>
      <c r="C1058" s="3">
        <v>993</v>
      </c>
      <c r="D1058" s="3" t="s">
        <v>1099</v>
      </c>
      <c r="E1058" s="3"/>
      <c r="F1058" s="4" t="s">
        <v>1102</v>
      </c>
      <c r="G1058" s="5" t="s">
        <v>1106</v>
      </c>
      <c r="H1058" s="4" t="s">
        <v>1107</v>
      </c>
      <c r="I1058" s="3" t="s">
        <v>2779</v>
      </c>
      <c r="J1058" s="3" t="s">
        <v>28</v>
      </c>
      <c r="K1058" s="6">
        <v>1000</v>
      </c>
      <c r="L1058" s="6"/>
      <c r="M1058" s="6">
        <f t="shared" si="97"/>
        <v>1000</v>
      </c>
      <c r="N1058" s="8">
        <v>22000</v>
      </c>
      <c r="O1058" s="149" t="s">
        <v>1105</v>
      </c>
    </row>
    <row r="1059" spans="1:15" s="9" customFormat="1" ht="16.5" customHeight="1">
      <c r="A1059" s="2">
        <v>60</v>
      </c>
      <c r="B1059" s="3">
        <v>11</v>
      </c>
      <c r="C1059" s="3">
        <v>994</v>
      </c>
      <c r="D1059" s="3"/>
      <c r="E1059" s="3" t="s">
        <v>2062</v>
      </c>
      <c r="F1059" s="4"/>
      <c r="G1059" s="5" t="s">
        <v>2064</v>
      </c>
      <c r="H1059" s="4" t="s">
        <v>1927</v>
      </c>
      <c r="I1059" s="3" t="s">
        <v>2781</v>
      </c>
      <c r="J1059" s="3" t="s">
        <v>85</v>
      </c>
      <c r="K1059" s="6"/>
      <c r="L1059" s="6">
        <f>10+26</f>
        <v>36</v>
      </c>
      <c r="M1059" s="6">
        <f t="shared" si="97"/>
        <v>36</v>
      </c>
      <c r="N1059" s="8" t="s">
        <v>1700</v>
      </c>
      <c r="O1059" s="149"/>
    </row>
    <row r="1060" spans="1:15" s="9" customFormat="1" ht="16.5" customHeight="1">
      <c r="A1060" s="2">
        <v>60</v>
      </c>
      <c r="B1060" s="3">
        <v>12</v>
      </c>
      <c r="C1060" s="3">
        <v>995</v>
      </c>
      <c r="D1060" s="3"/>
      <c r="E1060" s="3" t="s">
        <v>2062</v>
      </c>
      <c r="F1060" s="4"/>
      <c r="G1060" s="5" t="s">
        <v>2063</v>
      </c>
      <c r="H1060" s="4" t="s">
        <v>1927</v>
      </c>
      <c r="I1060" s="3" t="s">
        <v>2781</v>
      </c>
      <c r="J1060" s="3" t="s">
        <v>85</v>
      </c>
      <c r="K1060" s="6"/>
      <c r="L1060" s="6">
        <f>10+25</f>
        <v>35</v>
      </c>
      <c r="M1060" s="6">
        <f t="shared" si="97"/>
        <v>35</v>
      </c>
      <c r="N1060" s="8" t="s">
        <v>1700</v>
      </c>
      <c r="O1060" s="149"/>
    </row>
    <row r="1061" spans="1:15" s="9" customFormat="1" ht="16.5" customHeight="1">
      <c r="A1061" s="2">
        <v>60</v>
      </c>
      <c r="B1061" s="3">
        <v>13</v>
      </c>
      <c r="C1061" s="3">
        <v>996</v>
      </c>
      <c r="D1061" s="3"/>
      <c r="E1061" s="3" t="s">
        <v>2062</v>
      </c>
      <c r="F1061" s="4"/>
      <c r="G1061" s="5" t="s">
        <v>2061</v>
      </c>
      <c r="H1061" s="4" t="s">
        <v>2060</v>
      </c>
      <c r="I1061" s="3" t="s">
        <v>2779</v>
      </c>
      <c r="J1061" s="3" t="s">
        <v>85</v>
      </c>
      <c r="K1061" s="6"/>
      <c r="L1061" s="6">
        <f>10+26</f>
        <v>36</v>
      </c>
      <c r="M1061" s="6">
        <f t="shared" si="97"/>
        <v>36</v>
      </c>
      <c r="N1061" s="8" t="s">
        <v>1700</v>
      </c>
      <c r="O1061" s="149"/>
    </row>
    <row r="1062" spans="1:15" s="9" customFormat="1" ht="16.5" customHeight="1">
      <c r="A1062" s="2">
        <v>60</v>
      </c>
      <c r="B1062" s="3">
        <v>14</v>
      </c>
      <c r="C1062" s="3">
        <v>997</v>
      </c>
      <c r="D1062" s="3"/>
      <c r="E1062" s="3" t="s">
        <v>1085</v>
      </c>
      <c r="F1062" s="4"/>
      <c r="G1062" s="5" t="s">
        <v>2059</v>
      </c>
      <c r="H1062" s="4" t="s">
        <v>2058</v>
      </c>
      <c r="I1062" s="3" t="s">
        <v>2779</v>
      </c>
      <c r="J1062" s="3" t="s">
        <v>85</v>
      </c>
      <c r="K1062" s="6"/>
      <c r="L1062" s="6">
        <v>8</v>
      </c>
      <c r="M1062" s="6">
        <f t="shared" si="97"/>
        <v>8</v>
      </c>
      <c r="N1062" s="8" t="s">
        <v>1700</v>
      </c>
      <c r="O1062" s="149"/>
    </row>
    <row r="1063" spans="1:15" s="9" customFormat="1" ht="16.5" customHeight="1">
      <c r="A1063" s="2">
        <v>60</v>
      </c>
      <c r="B1063" s="3">
        <v>15</v>
      </c>
      <c r="C1063" s="3">
        <v>998</v>
      </c>
      <c r="D1063" s="3"/>
      <c r="E1063" s="3" t="s">
        <v>1085</v>
      </c>
      <c r="F1063" s="4" t="s">
        <v>2057</v>
      </c>
      <c r="G1063" s="5" t="s">
        <v>2056</v>
      </c>
      <c r="H1063" s="4"/>
      <c r="I1063" s="3" t="s">
        <v>2782</v>
      </c>
      <c r="J1063" s="3" t="s">
        <v>85</v>
      </c>
      <c r="K1063" s="6"/>
      <c r="L1063" s="6">
        <v>50</v>
      </c>
      <c r="M1063" s="6">
        <f t="shared" si="97"/>
        <v>50</v>
      </c>
      <c r="N1063" s="8">
        <v>2100</v>
      </c>
      <c r="O1063" s="149"/>
    </row>
    <row r="1064" spans="1:15" s="9" customFormat="1" ht="16.5" customHeight="1">
      <c r="A1064" s="2">
        <v>60</v>
      </c>
      <c r="B1064" s="3">
        <v>16</v>
      </c>
      <c r="C1064" s="3">
        <v>999</v>
      </c>
      <c r="D1064" s="3"/>
      <c r="E1064" s="3" t="s">
        <v>2055</v>
      </c>
      <c r="F1064" s="4"/>
      <c r="G1064" s="5" t="s">
        <v>2054</v>
      </c>
      <c r="H1064" s="4"/>
      <c r="I1064" s="3" t="s">
        <v>2778</v>
      </c>
      <c r="J1064" s="3" t="s">
        <v>85</v>
      </c>
      <c r="K1064" s="6"/>
      <c r="L1064" s="6">
        <v>20</v>
      </c>
      <c r="M1064" s="6">
        <f t="shared" si="97"/>
        <v>20</v>
      </c>
      <c r="N1064" s="8" t="s">
        <v>1700</v>
      </c>
      <c r="O1064" s="149"/>
    </row>
    <row r="1065" spans="1:15" s="9" customFormat="1" ht="16.5" customHeight="1">
      <c r="A1065" s="2">
        <v>60</v>
      </c>
      <c r="B1065" s="3">
        <v>17</v>
      </c>
      <c r="C1065" s="3">
        <v>1000</v>
      </c>
      <c r="D1065" s="3"/>
      <c r="E1065" s="3" t="s">
        <v>1085</v>
      </c>
      <c r="F1065" s="4"/>
      <c r="G1065" s="5" t="s">
        <v>2053</v>
      </c>
      <c r="H1065" s="4" t="s">
        <v>2052</v>
      </c>
      <c r="I1065" s="3" t="s">
        <v>2781</v>
      </c>
      <c r="J1065" s="3" t="s">
        <v>2051</v>
      </c>
      <c r="K1065" s="6"/>
      <c r="L1065" s="6">
        <v>2</v>
      </c>
      <c r="M1065" s="6">
        <f t="shared" si="97"/>
        <v>2</v>
      </c>
      <c r="N1065" s="8">
        <v>29960</v>
      </c>
      <c r="O1065" s="149" t="s">
        <v>2050</v>
      </c>
    </row>
    <row r="1066" spans="1:15" s="9" customFormat="1" ht="16.5" customHeight="1">
      <c r="A1066" s="2">
        <v>60</v>
      </c>
      <c r="B1066" s="3">
        <v>18</v>
      </c>
      <c r="C1066" s="3">
        <v>1001</v>
      </c>
      <c r="D1066" s="3"/>
      <c r="E1066" s="3" t="s">
        <v>1085</v>
      </c>
      <c r="F1066" s="4"/>
      <c r="G1066" s="5" t="s">
        <v>2049</v>
      </c>
      <c r="H1066" s="4"/>
      <c r="I1066" s="3" t="s">
        <v>2778</v>
      </c>
      <c r="J1066" s="3" t="s">
        <v>85</v>
      </c>
      <c r="K1066" s="6"/>
      <c r="L1066" s="6">
        <v>20</v>
      </c>
      <c r="M1066" s="6">
        <f t="shared" ref="M1066:M1068" si="98">K1066+L1066</f>
        <v>20</v>
      </c>
      <c r="N1066" s="8" t="s">
        <v>1700</v>
      </c>
      <c r="O1066" s="149"/>
    </row>
    <row r="1067" spans="1:15" s="9" customFormat="1" ht="16.5" customHeight="1">
      <c r="A1067" s="2">
        <v>60</v>
      </c>
      <c r="B1067" s="3">
        <v>19</v>
      </c>
      <c r="C1067" s="3">
        <v>1002</v>
      </c>
      <c r="D1067" s="3"/>
      <c r="E1067" s="3" t="s">
        <v>1085</v>
      </c>
      <c r="F1067" s="4"/>
      <c r="G1067" s="5" t="s">
        <v>2048</v>
      </c>
      <c r="H1067" s="4"/>
      <c r="I1067" s="3" t="s">
        <v>2781</v>
      </c>
      <c r="J1067" s="3" t="s">
        <v>85</v>
      </c>
      <c r="K1067" s="6"/>
      <c r="L1067" s="6">
        <v>3</v>
      </c>
      <c r="M1067" s="6">
        <f t="shared" si="98"/>
        <v>3</v>
      </c>
      <c r="N1067" s="8" t="s">
        <v>1700</v>
      </c>
      <c r="O1067" s="149"/>
    </row>
    <row r="1068" spans="1:15" s="9" customFormat="1" ht="16.5" customHeight="1">
      <c r="A1068" s="2">
        <v>60</v>
      </c>
      <c r="B1068" s="3">
        <v>20</v>
      </c>
      <c r="C1068" s="3">
        <v>1003</v>
      </c>
      <c r="D1068" s="3"/>
      <c r="E1068" s="3" t="s">
        <v>1085</v>
      </c>
      <c r="F1068" s="4"/>
      <c r="G1068" s="5" t="s">
        <v>2047</v>
      </c>
      <c r="H1068" s="4"/>
      <c r="I1068" s="3" t="s">
        <v>2779</v>
      </c>
      <c r="J1068" s="3" t="s">
        <v>85</v>
      </c>
      <c r="K1068" s="6"/>
      <c r="L1068" s="6">
        <v>2</v>
      </c>
      <c r="M1068" s="6">
        <f t="shared" si="98"/>
        <v>2</v>
      </c>
      <c r="N1068" s="8" t="s">
        <v>1700</v>
      </c>
      <c r="O1068" s="149"/>
    </row>
    <row r="1069" spans="1:15" ht="16.5" customHeight="1">
      <c r="A1069" s="13"/>
      <c r="B1069" s="14"/>
      <c r="C1069" s="14"/>
      <c r="D1069" s="14"/>
      <c r="E1069" s="14"/>
      <c r="F1069" s="15"/>
      <c r="G1069" s="16"/>
      <c r="H1069" s="15"/>
      <c r="I1069" s="15"/>
      <c r="J1069" s="14"/>
      <c r="K1069" s="157">
        <f>SUM(K1049:K1068)</f>
        <v>3220</v>
      </c>
      <c r="L1069" s="157">
        <f t="shared" ref="L1069:M1069" si="99">SUM(L1049:L1068)</f>
        <v>4179</v>
      </c>
      <c r="M1069" s="157">
        <f t="shared" si="99"/>
        <v>7399</v>
      </c>
      <c r="N1069" s="17"/>
      <c r="O1069" s="145"/>
    </row>
    <row r="1070" spans="1:15" s="9" customFormat="1" ht="16.5" customHeight="1">
      <c r="A1070" s="2">
        <v>61</v>
      </c>
      <c r="B1070" s="3">
        <v>1</v>
      </c>
      <c r="C1070" s="3">
        <v>1004</v>
      </c>
      <c r="D1070" s="3" t="s">
        <v>14</v>
      </c>
      <c r="E1070" s="3"/>
      <c r="F1070" s="4" t="s">
        <v>762</v>
      </c>
      <c r="G1070" s="5" t="s">
        <v>763</v>
      </c>
      <c r="H1070" s="4" t="s">
        <v>764</v>
      </c>
      <c r="I1070" s="3" t="s">
        <v>2703</v>
      </c>
      <c r="J1070" s="3" t="s">
        <v>35</v>
      </c>
      <c r="K1070" s="6">
        <v>20</v>
      </c>
      <c r="L1070" s="6"/>
      <c r="M1070" s="6">
        <f t="shared" ref="M1070:M1090" si="100">K1070+L1070</f>
        <v>20</v>
      </c>
      <c r="N1070" s="8">
        <v>1930</v>
      </c>
      <c r="O1070" s="149"/>
    </row>
    <row r="1071" spans="1:15" s="9" customFormat="1" ht="16.5" customHeight="1">
      <c r="A1071" s="2">
        <v>61</v>
      </c>
      <c r="B1071" s="3">
        <v>2</v>
      </c>
      <c r="C1071" s="3">
        <v>1005</v>
      </c>
      <c r="D1071" s="3" t="s">
        <v>14</v>
      </c>
      <c r="E1071" s="3" t="s">
        <v>1705</v>
      </c>
      <c r="F1071" s="4" t="s">
        <v>765</v>
      </c>
      <c r="G1071" s="5" t="s">
        <v>766</v>
      </c>
      <c r="H1071" s="4" t="s">
        <v>767</v>
      </c>
      <c r="I1071" s="3" t="s">
        <v>2704</v>
      </c>
      <c r="J1071" s="3" t="s">
        <v>35</v>
      </c>
      <c r="K1071" s="6">
        <v>80</v>
      </c>
      <c r="L1071" s="6">
        <v>80</v>
      </c>
      <c r="M1071" s="6">
        <f t="shared" si="100"/>
        <v>160</v>
      </c>
      <c r="N1071" s="8">
        <v>5370</v>
      </c>
      <c r="O1071" s="149"/>
    </row>
    <row r="1072" spans="1:15" s="9" customFormat="1" ht="16.5" customHeight="1">
      <c r="A1072" s="2">
        <v>61</v>
      </c>
      <c r="B1072" s="3">
        <v>3</v>
      </c>
      <c r="C1072" s="3">
        <v>1006</v>
      </c>
      <c r="D1072" s="3" t="s">
        <v>14</v>
      </c>
      <c r="E1072" s="3" t="s">
        <v>1705</v>
      </c>
      <c r="F1072" s="4" t="s">
        <v>768</v>
      </c>
      <c r="G1072" s="5" t="s">
        <v>766</v>
      </c>
      <c r="H1072" s="4" t="s">
        <v>769</v>
      </c>
      <c r="I1072" s="3" t="s">
        <v>2704</v>
      </c>
      <c r="J1072" s="3" t="s">
        <v>35</v>
      </c>
      <c r="K1072" s="6">
        <v>30</v>
      </c>
      <c r="L1072" s="6">
        <v>30</v>
      </c>
      <c r="M1072" s="6">
        <f t="shared" si="100"/>
        <v>60</v>
      </c>
      <c r="N1072" s="8">
        <v>20920</v>
      </c>
      <c r="O1072" s="149"/>
    </row>
    <row r="1073" spans="1:15" s="9" customFormat="1" ht="16.5" customHeight="1">
      <c r="A1073" s="2">
        <v>61</v>
      </c>
      <c r="B1073" s="3">
        <v>4</v>
      </c>
      <c r="C1073" s="3">
        <v>1007</v>
      </c>
      <c r="D1073" s="3" t="s">
        <v>14</v>
      </c>
      <c r="E1073" s="3" t="s">
        <v>1705</v>
      </c>
      <c r="F1073" s="4" t="s">
        <v>770</v>
      </c>
      <c r="G1073" s="5" t="s">
        <v>766</v>
      </c>
      <c r="H1073" s="4" t="s">
        <v>771</v>
      </c>
      <c r="I1073" s="3" t="s">
        <v>2704</v>
      </c>
      <c r="J1073" s="3" t="s">
        <v>35</v>
      </c>
      <c r="K1073" s="6">
        <v>20</v>
      </c>
      <c r="L1073" s="6">
        <v>20</v>
      </c>
      <c r="M1073" s="6">
        <f t="shared" si="100"/>
        <v>40</v>
      </c>
      <c r="N1073" s="8">
        <v>47680</v>
      </c>
      <c r="O1073" s="149"/>
    </row>
    <row r="1074" spans="1:15" s="9" customFormat="1" ht="16.5" customHeight="1">
      <c r="A1074" s="2">
        <v>61</v>
      </c>
      <c r="B1074" s="3">
        <v>5</v>
      </c>
      <c r="C1074" s="3">
        <v>1008</v>
      </c>
      <c r="D1074" s="3"/>
      <c r="E1074" s="3" t="s">
        <v>488</v>
      </c>
      <c r="F1074" s="4" t="s">
        <v>1915</v>
      </c>
      <c r="G1074" s="5" t="s">
        <v>187</v>
      </c>
      <c r="H1074" s="4" t="s">
        <v>1914</v>
      </c>
      <c r="I1074" s="3" t="s">
        <v>2705</v>
      </c>
      <c r="J1074" s="3" t="s">
        <v>85</v>
      </c>
      <c r="K1074" s="6"/>
      <c r="L1074" s="6">
        <v>70</v>
      </c>
      <c r="M1074" s="6">
        <f t="shared" si="100"/>
        <v>70</v>
      </c>
      <c r="N1074" s="8">
        <v>17070</v>
      </c>
      <c r="O1074" s="149"/>
    </row>
    <row r="1075" spans="1:15" s="9" customFormat="1" ht="16.5" customHeight="1">
      <c r="A1075" s="2">
        <v>61</v>
      </c>
      <c r="B1075" s="3">
        <v>6</v>
      </c>
      <c r="C1075" s="3">
        <v>1009</v>
      </c>
      <c r="D1075" s="3"/>
      <c r="E1075" s="3" t="s">
        <v>488</v>
      </c>
      <c r="F1075" s="4" t="s">
        <v>1913</v>
      </c>
      <c r="G1075" s="5" t="s">
        <v>187</v>
      </c>
      <c r="H1075" s="4" t="s">
        <v>1912</v>
      </c>
      <c r="I1075" s="3" t="s">
        <v>2705</v>
      </c>
      <c r="J1075" s="3" t="s">
        <v>85</v>
      </c>
      <c r="K1075" s="6"/>
      <c r="L1075" s="6">
        <v>120</v>
      </c>
      <c r="M1075" s="6">
        <f t="shared" si="100"/>
        <v>120</v>
      </c>
      <c r="N1075" s="8">
        <v>27280</v>
      </c>
      <c r="O1075" s="149"/>
    </row>
    <row r="1076" spans="1:15" s="9" customFormat="1" ht="16.5" customHeight="1">
      <c r="A1076" s="2">
        <v>61</v>
      </c>
      <c r="B1076" s="3">
        <v>7</v>
      </c>
      <c r="C1076" s="3">
        <v>1010</v>
      </c>
      <c r="D1076" s="3"/>
      <c r="E1076" s="3" t="s">
        <v>488</v>
      </c>
      <c r="F1076" s="4" t="s">
        <v>1911</v>
      </c>
      <c r="G1076" s="5" t="s">
        <v>187</v>
      </c>
      <c r="H1076" s="4" t="s">
        <v>1910</v>
      </c>
      <c r="I1076" s="3" t="s">
        <v>2706</v>
      </c>
      <c r="J1076" s="3" t="s">
        <v>85</v>
      </c>
      <c r="K1076" s="6"/>
      <c r="L1076" s="6">
        <v>80</v>
      </c>
      <c r="M1076" s="6">
        <f t="shared" si="100"/>
        <v>80</v>
      </c>
      <c r="N1076" s="8">
        <v>20360</v>
      </c>
      <c r="O1076" s="149"/>
    </row>
    <row r="1077" spans="1:15" s="9" customFormat="1" ht="16.5" customHeight="1">
      <c r="A1077" s="2">
        <v>61</v>
      </c>
      <c r="B1077" s="3">
        <v>8</v>
      </c>
      <c r="C1077" s="3">
        <v>1011</v>
      </c>
      <c r="D1077" s="3"/>
      <c r="E1077" s="3" t="s">
        <v>488</v>
      </c>
      <c r="F1077" s="4" t="s">
        <v>1909</v>
      </c>
      <c r="G1077" s="5" t="s">
        <v>187</v>
      </c>
      <c r="H1077" s="4" t="s">
        <v>1908</v>
      </c>
      <c r="I1077" s="3" t="s">
        <v>2707</v>
      </c>
      <c r="J1077" s="3" t="s">
        <v>85</v>
      </c>
      <c r="K1077" s="6"/>
      <c r="L1077" s="6">
        <v>240</v>
      </c>
      <c r="M1077" s="6">
        <f t="shared" si="100"/>
        <v>240</v>
      </c>
      <c r="N1077" s="8">
        <v>27300</v>
      </c>
      <c r="O1077" s="149"/>
    </row>
    <row r="1078" spans="1:15" s="9" customFormat="1" ht="16.5" customHeight="1">
      <c r="A1078" s="2">
        <v>61</v>
      </c>
      <c r="B1078" s="3">
        <v>9</v>
      </c>
      <c r="C1078" s="3">
        <v>1012</v>
      </c>
      <c r="D1078" s="3"/>
      <c r="E1078" s="3" t="s">
        <v>488</v>
      </c>
      <c r="F1078" s="4" t="s">
        <v>1907</v>
      </c>
      <c r="G1078" s="5" t="s">
        <v>187</v>
      </c>
      <c r="H1078" s="4" t="s">
        <v>1906</v>
      </c>
      <c r="I1078" s="3" t="s">
        <v>2708</v>
      </c>
      <c r="J1078" s="3" t="s">
        <v>85</v>
      </c>
      <c r="K1078" s="6"/>
      <c r="L1078" s="6">
        <v>220</v>
      </c>
      <c r="M1078" s="6">
        <f t="shared" si="100"/>
        <v>220</v>
      </c>
      <c r="N1078" s="8">
        <v>32680</v>
      </c>
      <c r="O1078" s="149"/>
    </row>
    <row r="1079" spans="1:15" s="9" customFormat="1" ht="16.5" customHeight="1">
      <c r="A1079" s="2">
        <v>61</v>
      </c>
      <c r="B1079" s="3">
        <v>10</v>
      </c>
      <c r="C1079" s="3">
        <v>1013</v>
      </c>
      <c r="D1079" s="3"/>
      <c r="E1079" s="3" t="s">
        <v>488</v>
      </c>
      <c r="F1079" s="4" t="s">
        <v>1905</v>
      </c>
      <c r="G1079" s="5" t="s">
        <v>187</v>
      </c>
      <c r="H1079" s="4" t="s">
        <v>1904</v>
      </c>
      <c r="I1079" s="3" t="s">
        <v>2707</v>
      </c>
      <c r="J1079" s="3" t="s">
        <v>85</v>
      </c>
      <c r="K1079" s="6"/>
      <c r="L1079" s="6">
        <v>110</v>
      </c>
      <c r="M1079" s="6">
        <f t="shared" si="100"/>
        <v>110</v>
      </c>
      <c r="N1079" s="8">
        <v>49130</v>
      </c>
      <c r="O1079" s="149"/>
    </row>
    <row r="1080" spans="1:15" s="9" customFormat="1" ht="16.5" customHeight="1">
      <c r="A1080" s="2">
        <v>61</v>
      </c>
      <c r="B1080" s="3">
        <v>11</v>
      </c>
      <c r="C1080" s="3">
        <v>1014</v>
      </c>
      <c r="D1080" s="3" t="s">
        <v>75</v>
      </c>
      <c r="E1080" s="3"/>
      <c r="F1080" s="4" t="s">
        <v>772</v>
      </c>
      <c r="G1080" s="5" t="s">
        <v>773</v>
      </c>
      <c r="H1080" s="4" t="s">
        <v>774</v>
      </c>
      <c r="I1080" s="3" t="s">
        <v>2709</v>
      </c>
      <c r="J1080" s="3" t="s">
        <v>79</v>
      </c>
      <c r="K1080" s="6">
        <v>1100</v>
      </c>
      <c r="L1080" s="6"/>
      <c r="M1080" s="6">
        <f t="shared" si="100"/>
        <v>1100</v>
      </c>
      <c r="N1080" s="8">
        <v>55230</v>
      </c>
      <c r="O1080" s="149"/>
    </row>
    <row r="1081" spans="1:15" s="9" customFormat="1" ht="16.5" customHeight="1">
      <c r="A1081" s="2">
        <v>61</v>
      </c>
      <c r="B1081" s="3">
        <v>12</v>
      </c>
      <c r="C1081" s="3">
        <v>1015</v>
      </c>
      <c r="D1081" s="3" t="s">
        <v>377</v>
      </c>
      <c r="E1081" s="3"/>
      <c r="F1081" s="4" t="s">
        <v>775</v>
      </c>
      <c r="G1081" s="5" t="s">
        <v>776</v>
      </c>
      <c r="H1081" s="4" t="s">
        <v>777</v>
      </c>
      <c r="I1081" s="3" t="s">
        <v>2710</v>
      </c>
      <c r="J1081" s="3" t="s">
        <v>28</v>
      </c>
      <c r="K1081" s="6">
        <v>10</v>
      </c>
      <c r="L1081" s="6"/>
      <c r="M1081" s="6">
        <f t="shared" si="100"/>
        <v>10</v>
      </c>
      <c r="N1081" s="8">
        <v>3190</v>
      </c>
      <c r="O1081" s="149"/>
    </row>
    <row r="1082" spans="1:15" s="9" customFormat="1" ht="16.5" customHeight="1">
      <c r="A1082" s="2">
        <v>61</v>
      </c>
      <c r="B1082" s="3">
        <v>13</v>
      </c>
      <c r="C1082" s="3">
        <v>1016</v>
      </c>
      <c r="D1082" s="3" t="s">
        <v>377</v>
      </c>
      <c r="E1082" s="3"/>
      <c r="F1082" s="4" t="s">
        <v>778</v>
      </c>
      <c r="G1082" s="5" t="s">
        <v>779</v>
      </c>
      <c r="H1082" s="4" t="s">
        <v>780</v>
      </c>
      <c r="I1082" s="3" t="s">
        <v>2710</v>
      </c>
      <c r="J1082" s="3" t="s">
        <v>28</v>
      </c>
      <c r="K1082" s="6">
        <v>30</v>
      </c>
      <c r="L1082" s="6"/>
      <c r="M1082" s="6">
        <f t="shared" si="100"/>
        <v>30</v>
      </c>
      <c r="N1082" s="8">
        <v>80010</v>
      </c>
      <c r="O1082" s="149"/>
    </row>
    <row r="1083" spans="1:15" s="9" customFormat="1" ht="16.5" customHeight="1">
      <c r="A1083" s="2">
        <v>61</v>
      </c>
      <c r="B1083" s="3">
        <v>14</v>
      </c>
      <c r="C1083" s="3">
        <v>1017</v>
      </c>
      <c r="D1083" s="3" t="s">
        <v>377</v>
      </c>
      <c r="E1083" s="3" t="s">
        <v>1705</v>
      </c>
      <c r="F1083" s="4" t="s">
        <v>781</v>
      </c>
      <c r="G1083" s="5" t="s">
        <v>1920</v>
      </c>
      <c r="H1083" s="4" t="s">
        <v>1919</v>
      </c>
      <c r="I1083" s="3" t="s">
        <v>2711</v>
      </c>
      <c r="J1083" s="3" t="s">
        <v>28</v>
      </c>
      <c r="K1083" s="6">
        <v>650</v>
      </c>
      <c r="L1083" s="6">
        <v>3000</v>
      </c>
      <c r="M1083" s="6">
        <f t="shared" si="100"/>
        <v>3650</v>
      </c>
      <c r="N1083" s="8">
        <v>5370</v>
      </c>
      <c r="O1083" s="149"/>
    </row>
    <row r="1084" spans="1:15" s="9" customFormat="1" ht="16.5" customHeight="1">
      <c r="A1084" s="2">
        <v>61</v>
      </c>
      <c r="B1084" s="3">
        <v>15</v>
      </c>
      <c r="C1084" s="3">
        <v>1018</v>
      </c>
      <c r="D1084" s="3" t="s">
        <v>377</v>
      </c>
      <c r="E1084" s="3"/>
      <c r="F1084" s="4" t="s">
        <v>783</v>
      </c>
      <c r="G1084" s="5" t="s">
        <v>784</v>
      </c>
      <c r="H1084" s="4" t="s">
        <v>785</v>
      </c>
      <c r="I1084" s="3" t="s">
        <v>2710</v>
      </c>
      <c r="J1084" s="3" t="s">
        <v>28</v>
      </c>
      <c r="K1084" s="6">
        <v>500</v>
      </c>
      <c r="L1084" s="6">
        <v>200</v>
      </c>
      <c r="M1084" s="6">
        <f t="shared" si="100"/>
        <v>700</v>
      </c>
      <c r="N1084" s="8">
        <v>20920</v>
      </c>
      <c r="O1084" s="149"/>
    </row>
    <row r="1085" spans="1:15" s="9" customFormat="1" ht="16.5" customHeight="1">
      <c r="A1085" s="2">
        <v>61</v>
      </c>
      <c r="B1085" s="3">
        <v>16</v>
      </c>
      <c r="C1085" s="3">
        <v>1019</v>
      </c>
      <c r="D1085" s="3"/>
      <c r="E1085" s="3" t="s">
        <v>488</v>
      </c>
      <c r="F1085" s="4" t="s">
        <v>1918</v>
      </c>
      <c r="G1085" s="5" t="s">
        <v>1917</v>
      </c>
      <c r="H1085" s="4" t="s">
        <v>1916</v>
      </c>
      <c r="I1085" s="3" t="s">
        <v>2707</v>
      </c>
      <c r="J1085" s="3" t="s">
        <v>85</v>
      </c>
      <c r="K1085" s="6"/>
      <c r="L1085" s="6">
        <v>600</v>
      </c>
      <c r="M1085" s="6">
        <f t="shared" si="100"/>
        <v>600</v>
      </c>
      <c r="N1085" s="8">
        <v>14810</v>
      </c>
      <c r="O1085" s="149"/>
    </row>
    <row r="1086" spans="1:15" s="9" customFormat="1" ht="16.5" customHeight="1">
      <c r="A1086" s="2">
        <v>61</v>
      </c>
      <c r="B1086" s="3">
        <v>17</v>
      </c>
      <c r="C1086" s="3">
        <v>1020</v>
      </c>
      <c r="D1086" s="3"/>
      <c r="E1086" s="3" t="s">
        <v>488</v>
      </c>
      <c r="F1086" s="4" t="s">
        <v>1923</v>
      </c>
      <c r="G1086" s="5" t="s">
        <v>1922</v>
      </c>
      <c r="H1086" s="4" t="s">
        <v>1921</v>
      </c>
      <c r="I1086" s="3" t="s">
        <v>2712</v>
      </c>
      <c r="J1086" s="3" t="s">
        <v>85</v>
      </c>
      <c r="K1086" s="6"/>
      <c r="L1086" s="6">
        <v>30</v>
      </c>
      <c r="M1086" s="6">
        <f t="shared" si="100"/>
        <v>30</v>
      </c>
      <c r="N1086" s="8">
        <v>33170</v>
      </c>
      <c r="O1086" s="149"/>
    </row>
    <row r="1087" spans="1:15" s="9" customFormat="1" ht="16.5" customHeight="1">
      <c r="A1087" s="2">
        <v>61</v>
      </c>
      <c r="B1087" s="3">
        <v>18</v>
      </c>
      <c r="C1087" s="3">
        <v>1021</v>
      </c>
      <c r="D1087" s="3" t="s">
        <v>377</v>
      </c>
      <c r="E1087" s="3"/>
      <c r="F1087" s="4" t="s">
        <v>786</v>
      </c>
      <c r="G1087" s="5" t="s">
        <v>787</v>
      </c>
      <c r="H1087" s="4" t="s">
        <v>788</v>
      </c>
      <c r="I1087" s="3" t="s">
        <v>2710</v>
      </c>
      <c r="J1087" s="3" t="s">
        <v>28</v>
      </c>
      <c r="K1087" s="6">
        <v>80</v>
      </c>
      <c r="L1087" s="6"/>
      <c r="M1087" s="6">
        <f t="shared" si="100"/>
        <v>80</v>
      </c>
      <c r="N1087" s="8" t="s">
        <v>19</v>
      </c>
      <c r="O1087" s="149"/>
    </row>
    <row r="1088" spans="1:15" s="9" customFormat="1" ht="16.5" customHeight="1">
      <c r="A1088" s="2">
        <v>61</v>
      </c>
      <c r="B1088" s="3">
        <v>19</v>
      </c>
      <c r="C1088" s="3">
        <v>1022</v>
      </c>
      <c r="D1088" s="3" t="s">
        <v>377</v>
      </c>
      <c r="E1088" s="3"/>
      <c r="F1088" s="4" t="s">
        <v>789</v>
      </c>
      <c r="G1088" s="5" t="s">
        <v>790</v>
      </c>
      <c r="H1088" s="4" t="s">
        <v>782</v>
      </c>
      <c r="I1088" s="3" t="s">
        <v>2711</v>
      </c>
      <c r="J1088" s="3" t="s">
        <v>28</v>
      </c>
      <c r="K1088" s="6">
        <v>150</v>
      </c>
      <c r="L1088" s="6"/>
      <c r="M1088" s="6">
        <f t="shared" si="100"/>
        <v>150</v>
      </c>
      <c r="N1088" s="8">
        <v>2000</v>
      </c>
      <c r="O1088" s="149"/>
    </row>
    <row r="1089" spans="1:15" s="9" customFormat="1" ht="16.5" customHeight="1">
      <c r="A1089" s="2">
        <v>61</v>
      </c>
      <c r="B1089" s="3">
        <v>20</v>
      </c>
      <c r="C1089" s="3">
        <v>1023</v>
      </c>
      <c r="D1089" s="3" t="s">
        <v>377</v>
      </c>
      <c r="E1089" s="3"/>
      <c r="F1089" s="4" t="s">
        <v>791</v>
      </c>
      <c r="G1089" s="5" t="s">
        <v>790</v>
      </c>
      <c r="H1089" s="4" t="s">
        <v>785</v>
      </c>
      <c r="I1089" s="3" t="s">
        <v>2710</v>
      </c>
      <c r="J1089" s="3" t="s">
        <v>28</v>
      </c>
      <c r="K1089" s="6">
        <v>100</v>
      </c>
      <c r="L1089" s="6"/>
      <c r="M1089" s="6">
        <f t="shared" si="100"/>
        <v>100</v>
      </c>
      <c r="N1089" s="8">
        <v>7770</v>
      </c>
      <c r="O1089" s="149"/>
    </row>
    <row r="1090" spans="1:15" s="9" customFormat="1" ht="16.5" customHeight="1">
      <c r="A1090" s="2">
        <v>61</v>
      </c>
      <c r="B1090" s="3">
        <v>21</v>
      </c>
      <c r="C1090" s="3">
        <v>1024</v>
      </c>
      <c r="D1090" s="3" t="s">
        <v>377</v>
      </c>
      <c r="E1090" s="3"/>
      <c r="F1090" s="4" t="s">
        <v>792</v>
      </c>
      <c r="G1090" s="5" t="s">
        <v>793</v>
      </c>
      <c r="H1090" s="4" t="s">
        <v>175</v>
      </c>
      <c r="I1090" s="3" t="s">
        <v>2711</v>
      </c>
      <c r="J1090" s="3" t="s">
        <v>28</v>
      </c>
      <c r="K1090" s="6">
        <v>30</v>
      </c>
      <c r="L1090" s="6"/>
      <c r="M1090" s="6">
        <f t="shared" si="100"/>
        <v>30</v>
      </c>
      <c r="N1090" s="8" t="s">
        <v>19</v>
      </c>
      <c r="O1090" s="149"/>
    </row>
    <row r="1091" spans="1:15" s="34" customFormat="1" ht="16.5" customHeight="1">
      <c r="A1091" s="13"/>
      <c r="B1091" s="14"/>
      <c r="C1091" s="14"/>
      <c r="D1091" s="14"/>
      <c r="E1091" s="14"/>
      <c r="F1091" s="15"/>
      <c r="G1091" s="16"/>
      <c r="H1091" s="15"/>
      <c r="I1091" s="15"/>
      <c r="J1091" s="14"/>
      <c r="K1091" s="157">
        <f>SUM(K1070:K1090)</f>
        <v>2800</v>
      </c>
      <c r="L1091" s="157">
        <f t="shared" ref="L1091:M1091" si="101">SUM(L1070:L1090)</f>
        <v>4800</v>
      </c>
      <c r="M1091" s="157">
        <f t="shared" si="101"/>
        <v>7600</v>
      </c>
      <c r="N1091" s="17"/>
      <c r="O1091" s="145"/>
    </row>
    <row r="1092" spans="1:15" s="9" customFormat="1" ht="16.5" customHeight="1">
      <c r="A1092" s="2">
        <v>62</v>
      </c>
      <c r="B1092" s="3">
        <v>1</v>
      </c>
      <c r="C1092" s="3">
        <v>1025</v>
      </c>
      <c r="D1092" s="3" t="s">
        <v>14</v>
      </c>
      <c r="E1092" s="3"/>
      <c r="F1092" s="4"/>
      <c r="G1092" s="5" t="s">
        <v>128</v>
      </c>
      <c r="H1092" s="4" t="s">
        <v>129</v>
      </c>
      <c r="I1092" s="3" t="s">
        <v>2567</v>
      </c>
      <c r="J1092" s="3" t="s">
        <v>18</v>
      </c>
      <c r="K1092" s="6">
        <v>2</v>
      </c>
      <c r="L1092" s="6"/>
      <c r="M1092" s="6">
        <f t="shared" ref="M1092:M1151" si="102">K1092+L1092</f>
        <v>2</v>
      </c>
      <c r="N1092" s="8" t="s">
        <v>2934</v>
      </c>
      <c r="O1092" s="149"/>
    </row>
    <row r="1093" spans="1:15" s="9" customFormat="1" ht="16.5" customHeight="1">
      <c r="A1093" s="2">
        <v>62</v>
      </c>
      <c r="B1093" s="3">
        <v>2</v>
      </c>
      <c r="C1093" s="3">
        <v>1026</v>
      </c>
      <c r="D1093" s="3" t="s">
        <v>75</v>
      </c>
      <c r="E1093" s="3"/>
      <c r="F1093" s="4"/>
      <c r="G1093" s="5" t="s">
        <v>130</v>
      </c>
      <c r="H1093" s="4" t="s">
        <v>131</v>
      </c>
      <c r="I1093" s="3" t="s">
        <v>2568</v>
      </c>
      <c r="J1093" s="3" t="s">
        <v>132</v>
      </c>
      <c r="K1093" s="6">
        <v>5</v>
      </c>
      <c r="L1093" s="6"/>
      <c r="M1093" s="6">
        <f t="shared" si="102"/>
        <v>5</v>
      </c>
      <c r="N1093" s="8" t="s">
        <v>2934</v>
      </c>
      <c r="O1093" s="149"/>
    </row>
    <row r="1094" spans="1:15" s="9" customFormat="1" ht="16.5" customHeight="1">
      <c r="A1094" s="2">
        <v>62</v>
      </c>
      <c r="B1094" s="3">
        <v>3</v>
      </c>
      <c r="C1094" s="3">
        <v>1025</v>
      </c>
      <c r="D1094" s="3" t="s">
        <v>75</v>
      </c>
      <c r="E1094" s="3"/>
      <c r="F1094" s="4"/>
      <c r="G1094" s="5" t="s">
        <v>130</v>
      </c>
      <c r="H1094" s="4" t="s">
        <v>133</v>
      </c>
      <c r="I1094" s="3" t="s">
        <v>2568</v>
      </c>
      <c r="J1094" s="3" t="s">
        <v>132</v>
      </c>
      <c r="K1094" s="6">
        <v>5</v>
      </c>
      <c r="L1094" s="6"/>
      <c r="M1094" s="6">
        <f t="shared" si="102"/>
        <v>5</v>
      </c>
      <c r="N1094" s="8" t="s">
        <v>2934</v>
      </c>
      <c r="O1094" s="149"/>
    </row>
    <row r="1095" spans="1:15" s="9" customFormat="1" ht="16.5" customHeight="1">
      <c r="A1095" s="2">
        <v>62</v>
      </c>
      <c r="B1095" s="3">
        <v>4</v>
      </c>
      <c r="C1095" s="3">
        <v>1026</v>
      </c>
      <c r="D1095" s="3" t="s">
        <v>75</v>
      </c>
      <c r="E1095" s="3"/>
      <c r="F1095" s="4"/>
      <c r="G1095" s="5" t="s">
        <v>130</v>
      </c>
      <c r="H1095" s="4" t="s">
        <v>134</v>
      </c>
      <c r="I1095" s="3" t="s">
        <v>2568</v>
      </c>
      <c r="J1095" s="3" t="s">
        <v>132</v>
      </c>
      <c r="K1095" s="6">
        <v>5</v>
      </c>
      <c r="L1095" s="6"/>
      <c r="M1095" s="6">
        <f t="shared" si="102"/>
        <v>5</v>
      </c>
      <c r="N1095" s="8" t="s">
        <v>2934</v>
      </c>
      <c r="O1095" s="149"/>
    </row>
    <row r="1096" spans="1:15" s="9" customFormat="1" ht="16.5" customHeight="1">
      <c r="A1096" s="2">
        <v>62</v>
      </c>
      <c r="B1096" s="3">
        <v>5</v>
      </c>
      <c r="C1096" s="3">
        <v>1025</v>
      </c>
      <c r="D1096" s="3" t="s">
        <v>14</v>
      </c>
      <c r="E1096" s="3"/>
      <c r="F1096" s="4"/>
      <c r="G1096" s="5" t="s">
        <v>135</v>
      </c>
      <c r="H1096" s="4" t="s">
        <v>136</v>
      </c>
      <c r="I1096" s="3" t="s">
        <v>2569</v>
      </c>
      <c r="J1096" s="3" t="s">
        <v>137</v>
      </c>
      <c r="K1096" s="6">
        <v>20</v>
      </c>
      <c r="L1096" s="6"/>
      <c r="M1096" s="6">
        <f t="shared" si="102"/>
        <v>20</v>
      </c>
      <c r="N1096" s="8" t="s">
        <v>2934</v>
      </c>
      <c r="O1096" s="149"/>
    </row>
    <row r="1097" spans="1:15" s="9" customFormat="1" ht="16.5" customHeight="1">
      <c r="A1097" s="2">
        <v>62</v>
      </c>
      <c r="B1097" s="3">
        <v>6</v>
      </c>
      <c r="C1097" s="3">
        <v>1026</v>
      </c>
      <c r="D1097" s="3" t="s">
        <v>14</v>
      </c>
      <c r="E1097" s="3"/>
      <c r="F1097" s="4"/>
      <c r="G1097" s="5" t="s">
        <v>138</v>
      </c>
      <c r="H1097" s="4" t="s">
        <v>139</v>
      </c>
      <c r="I1097" s="3" t="s">
        <v>2570</v>
      </c>
      <c r="J1097" s="3" t="s">
        <v>140</v>
      </c>
      <c r="K1097" s="6">
        <v>300</v>
      </c>
      <c r="L1097" s="6"/>
      <c r="M1097" s="6">
        <f t="shared" si="102"/>
        <v>300</v>
      </c>
      <c r="N1097" s="8" t="s">
        <v>2934</v>
      </c>
      <c r="O1097" s="149"/>
    </row>
    <row r="1098" spans="1:15" s="9" customFormat="1" ht="16.5" customHeight="1">
      <c r="A1098" s="2">
        <v>62</v>
      </c>
      <c r="B1098" s="3">
        <v>7</v>
      </c>
      <c r="C1098" s="3">
        <v>1025</v>
      </c>
      <c r="D1098" s="3"/>
      <c r="E1098" s="3" t="s">
        <v>488</v>
      </c>
      <c r="F1098" s="4" t="s">
        <v>1752</v>
      </c>
      <c r="G1098" s="5" t="s">
        <v>1751</v>
      </c>
      <c r="H1098" s="4" t="s">
        <v>84</v>
      </c>
      <c r="I1098" s="3" t="s">
        <v>2571</v>
      </c>
      <c r="J1098" s="3" t="s">
        <v>85</v>
      </c>
      <c r="K1098" s="6"/>
      <c r="L1098" s="6">
        <v>300</v>
      </c>
      <c r="M1098" s="6">
        <f t="shared" si="102"/>
        <v>300</v>
      </c>
      <c r="N1098" s="8" t="s">
        <v>1700</v>
      </c>
      <c r="O1098" s="149"/>
    </row>
    <row r="1099" spans="1:15" s="9" customFormat="1" ht="16.5" customHeight="1">
      <c r="A1099" s="2">
        <v>62</v>
      </c>
      <c r="B1099" s="3">
        <v>8</v>
      </c>
      <c r="C1099" s="3">
        <v>1026</v>
      </c>
      <c r="D1099" s="3" t="s">
        <v>14</v>
      </c>
      <c r="E1099" s="3"/>
      <c r="F1099" s="4" t="s">
        <v>141</v>
      </c>
      <c r="G1099" s="5" t="s">
        <v>142</v>
      </c>
      <c r="H1099" s="4" t="s">
        <v>66</v>
      </c>
      <c r="I1099" s="3" t="s">
        <v>2572</v>
      </c>
      <c r="J1099" s="3" t="s">
        <v>35</v>
      </c>
      <c r="K1099" s="6">
        <v>600</v>
      </c>
      <c r="L1099" s="6"/>
      <c r="M1099" s="6">
        <f t="shared" si="102"/>
        <v>600</v>
      </c>
      <c r="N1099" s="8">
        <v>5370</v>
      </c>
      <c r="O1099" s="149"/>
    </row>
    <row r="1100" spans="1:15" s="9" customFormat="1" ht="16.5" customHeight="1">
      <c r="A1100" s="2">
        <v>62</v>
      </c>
      <c r="B1100" s="3">
        <v>9</v>
      </c>
      <c r="C1100" s="3">
        <v>1025</v>
      </c>
      <c r="D1100" s="3" t="s">
        <v>14</v>
      </c>
      <c r="E1100" s="3"/>
      <c r="F1100" s="4" t="s">
        <v>143</v>
      </c>
      <c r="G1100" s="5" t="s">
        <v>144</v>
      </c>
      <c r="H1100" s="4" t="s">
        <v>66</v>
      </c>
      <c r="I1100" s="3" t="s">
        <v>2573</v>
      </c>
      <c r="J1100" s="3" t="s">
        <v>35</v>
      </c>
      <c r="K1100" s="6">
        <v>4000</v>
      </c>
      <c r="L1100" s="6"/>
      <c r="M1100" s="6">
        <f t="shared" si="102"/>
        <v>4000</v>
      </c>
      <c r="N1100" s="8">
        <v>5370</v>
      </c>
      <c r="O1100" s="149"/>
    </row>
    <row r="1101" spans="1:15" s="9" customFormat="1" ht="16.5" customHeight="1">
      <c r="A1101" s="2">
        <v>62</v>
      </c>
      <c r="B1101" s="3">
        <v>10</v>
      </c>
      <c r="C1101" s="3">
        <v>1026</v>
      </c>
      <c r="D1101" s="3" t="s">
        <v>14</v>
      </c>
      <c r="E1101" s="3"/>
      <c r="F1101" s="4" t="s">
        <v>145</v>
      </c>
      <c r="G1101" s="5" t="s">
        <v>146</v>
      </c>
      <c r="H1101" s="4" t="s">
        <v>147</v>
      </c>
      <c r="I1101" s="3" t="s">
        <v>2574</v>
      </c>
      <c r="J1101" s="3" t="s">
        <v>35</v>
      </c>
      <c r="K1101" s="6">
        <v>500</v>
      </c>
      <c r="L1101" s="6"/>
      <c r="M1101" s="6">
        <f t="shared" si="102"/>
        <v>500</v>
      </c>
      <c r="N1101" s="8">
        <v>20920</v>
      </c>
      <c r="O1101" s="149"/>
    </row>
    <row r="1102" spans="1:15" s="9" customFormat="1" ht="16.5" customHeight="1">
      <c r="A1102" s="2">
        <v>62</v>
      </c>
      <c r="B1102" s="3">
        <v>11</v>
      </c>
      <c r="C1102" s="3">
        <v>1025</v>
      </c>
      <c r="D1102" s="3" t="s">
        <v>14</v>
      </c>
      <c r="E1102" s="3"/>
      <c r="F1102" s="4" t="s">
        <v>148</v>
      </c>
      <c r="G1102" s="5" t="s">
        <v>149</v>
      </c>
      <c r="H1102" s="4" t="s">
        <v>150</v>
      </c>
      <c r="I1102" s="3" t="s">
        <v>2575</v>
      </c>
      <c r="J1102" s="3" t="s">
        <v>28</v>
      </c>
      <c r="K1102" s="6">
        <v>50</v>
      </c>
      <c r="L1102" s="6"/>
      <c r="M1102" s="6">
        <f t="shared" si="102"/>
        <v>50</v>
      </c>
      <c r="N1102" s="8" t="s">
        <v>19</v>
      </c>
      <c r="O1102" s="149"/>
    </row>
    <row r="1103" spans="1:15" s="9" customFormat="1" ht="16.5" customHeight="1">
      <c r="A1103" s="2">
        <v>62</v>
      </c>
      <c r="B1103" s="3">
        <v>12</v>
      </c>
      <c r="C1103" s="3">
        <v>1026</v>
      </c>
      <c r="D1103" s="3"/>
      <c r="E1103" s="3" t="s">
        <v>488</v>
      </c>
      <c r="F1103" s="4" t="s">
        <v>1750</v>
      </c>
      <c r="G1103" s="5" t="s">
        <v>1749</v>
      </c>
      <c r="H1103" s="4" t="s">
        <v>66</v>
      </c>
      <c r="I1103" s="3" t="s">
        <v>2576</v>
      </c>
      <c r="J1103" s="3" t="s">
        <v>85</v>
      </c>
      <c r="K1103" s="6"/>
      <c r="L1103" s="6">
        <v>50</v>
      </c>
      <c r="M1103" s="6">
        <f t="shared" si="102"/>
        <v>50</v>
      </c>
      <c r="N1103" s="8">
        <v>5370</v>
      </c>
      <c r="O1103" s="149"/>
    </row>
    <row r="1104" spans="1:15" s="9" customFormat="1" ht="16.5" customHeight="1">
      <c r="A1104" s="2">
        <v>62</v>
      </c>
      <c r="B1104" s="3">
        <v>13</v>
      </c>
      <c r="C1104" s="3">
        <v>1025</v>
      </c>
      <c r="D1104" s="3" t="s">
        <v>14</v>
      </c>
      <c r="E1104" s="3"/>
      <c r="F1104" s="4" t="s">
        <v>151</v>
      </c>
      <c r="G1104" s="5" t="s">
        <v>152</v>
      </c>
      <c r="H1104" s="4" t="s">
        <v>153</v>
      </c>
      <c r="I1104" s="3" t="s">
        <v>2577</v>
      </c>
      <c r="J1104" s="3" t="s">
        <v>154</v>
      </c>
      <c r="K1104" s="6">
        <v>1500</v>
      </c>
      <c r="L1104" s="6"/>
      <c r="M1104" s="6">
        <f t="shared" si="102"/>
        <v>1500</v>
      </c>
      <c r="N1104" s="8">
        <v>5370</v>
      </c>
      <c r="O1104" s="149"/>
    </row>
    <row r="1105" spans="1:15" s="9" customFormat="1" ht="16.5" customHeight="1">
      <c r="A1105" s="2">
        <v>62</v>
      </c>
      <c r="B1105" s="3">
        <v>14</v>
      </c>
      <c r="C1105" s="3">
        <v>1026</v>
      </c>
      <c r="D1105" s="3" t="s">
        <v>14</v>
      </c>
      <c r="E1105" s="3"/>
      <c r="F1105" s="4" t="s">
        <v>155</v>
      </c>
      <c r="G1105" s="5" t="s">
        <v>152</v>
      </c>
      <c r="H1105" s="4" t="s">
        <v>156</v>
      </c>
      <c r="I1105" s="3" t="s">
        <v>2575</v>
      </c>
      <c r="J1105" s="3" t="s">
        <v>154</v>
      </c>
      <c r="K1105" s="6">
        <v>150</v>
      </c>
      <c r="L1105" s="6"/>
      <c r="M1105" s="6">
        <f t="shared" si="102"/>
        <v>150</v>
      </c>
      <c r="N1105" s="8">
        <v>11300</v>
      </c>
      <c r="O1105" s="149"/>
    </row>
    <row r="1106" spans="1:15" s="9" customFormat="1" ht="16.5" customHeight="1">
      <c r="A1106" s="2">
        <v>62</v>
      </c>
      <c r="B1106" s="3">
        <v>15</v>
      </c>
      <c r="C1106" s="3">
        <v>1025</v>
      </c>
      <c r="D1106" s="3" t="s">
        <v>14</v>
      </c>
      <c r="E1106" s="3" t="s">
        <v>488</v>
      </c>
      <c r="F1106" s="4" t="s">
        <v>157</v>
      </c>
      <c r="G1106" s="5" t="s">
        <v>158</v>
      </c>
      <c r="H1106" s="4" t="s">
        <v>66</v>
      </c>
      <c r="I1106" s="3" t="s">
        <v>2575</v>
      </c>
      <c r="J1106" s="3" t="s">
        <v>85</v>
      </c>
      <c r="K1106" s="6">
        <v>130</v>
      </c>
      <c r="L1106" s="6">
        <v>30</v>
      </c>
      <c r="M1106" s="6">
        <f t="shared" si="102"/>
        <v>160</v>
      </c>
      <c r="N1106" s="8">
        <v>3520</v>
      </c>
      <c r="O1106" s="149"/>
    </row>
    <row r="1107" spans="1:15" s="9" customFormat="1" ht="16.5" customHeight="1">
      <c r="A1107" s="2">
        <v>62</v>
      </c>
      <c r="B1107" s="3">
        <v>16</v>
      </c>
      <c r="C1107" s="3">
        <v>1026</v>
      </c>
      <c r="D1107" s="3" t="s">
        <v>14</v>
      </c>
      <c r="E1107" s="3"/>
      <c r="F1107" s="4" t="s">
        <v>159</v>
      </c>
      <c r="G1107" s="5" t="s">
        <v>158</v>
      </c>
      <c r="H1107" s="4" t="s">
        <v>160</v>
      </c>
      <c r="I1107" s="3" t="s">
        <v>2575</v>
      </c>
      <c r="J1107" s="3" t="s">
        <v>85</v>
      </c>
      <c r="K1107" s="6">
        <v>100</v>
      </c>
      <c r="L1107" s="6"/>
      <c r="M1107" s="6">
        <f t="shared" si="102"/>
        <v>100</v>
      </c>
      <c r="N1107" s="8">
        <v>1920</v>
      </c>
      <c r="O1107" s="149"/>
    </row>
    <row r="1108" spans="1:15" s="9" customFormat="1" ht="16.5" customHeight="1">
      <c r="A1108" s="2">
        <v>62</v>
      </c>
      <c r="B1108" s="3">
        <v>17</v>
      </c>
      <c r="C1108" s="3">
        <v>1025</v>
      </c>
      <c r="D1108" s="3" t="s">
        <v>14</v>
      </c>
      <c r="E1108" s="3"/>
      <c r="F1108" s="4" t="s">
        <v>161</v>
      </c>
      <c r="G1108" s="5" t="s">
        <v>162</v>
      </c>
      <c r="H1108" s="4" t="s">
        <v>163</v>
      </c>
      <c r="I1108" s="3" t="s">
        <v>2575</v>
      </c>
      <c r="J1108" s="3" t="s">
        <v>85</v>
      </c>
      <c r="K1108" s="6">
        <v>300</v>
      </c>
      <c r="L1108" s="6"/>
      <c r="M1108" s="6">
        <f t="shared" si="102"/>
        <v>300</v>
      </c>
      <c r="N1108" s="8">
        <v>3350</v>
      </c>
      <c r="O1108" s="149"/>
    </row>
    <row r="1109" spans="1:15" s="9" customFormat="1" ht="16.5" customHeight="1">
      <c r="A1109" s="2">
        <v>62</v>
      </c>
      <c r="B1109" s="3">
        <v>18</v>
      </c>
      <c r="C1109" s="3">
        <v>1026</v>
      </c>
      <c r="D1109" s="3" t="s">
        <v>14</v>
      </c>
      <c r="E1109" s="3"/>
      <c r="F1109" s="4" t="s">
        <v>164</v>
      </c>
      <c r="G1109" s="5" t="s">
        <v>162</v>
      </c>
      <c r="H1109" s="4" t="s">
        <v>165</v>
      </c>
      <c r="I1109" s="3" t="s">
        <v>2577</v>
      </c>
      <c r="J1109" s="3" t="s">
        <v>85</v>
      </c>
      <c r="K1109" s="6">
        <v>150</v>
      </c>
      <c r="L1109" s="6"/>
      <c r="M1109" s="6">
        <f t="shared" si="102"/>
        <v>150</v>
      </c>
      <c r="N1109" s="8">
        <v>4550</v>
      </c>
      <c r="O1109" s="149"/>
    </row>
    <row r="1110" spans="1:15" s="9" customFormat="1" ht="16.5" customHeight="1">
      <c r="A1110" s="2">
        <v>62</v>
      </c>
      <c r="B1110" s="3">
        <v>19</v>
      </c>
      <c r="C1110" s="3">
        <v>1025</v>
      </c>
      <c r="D1110" s="3" t="s">
        <v>14</v>
      </c>
      <c r="E1110" s="3"/>
      <c r="F1110" s="4" t="s">
        <v>166</v>
      </c>
      <c r="G1110" s="5" t="s">
        <v>162</v>
      </c>
      <c r="H1110" s="4" t="s">
        <v>167</v>
      </c>
      <c r="I1110" s="3" t="s">
        <v>2578</v>
      </c>
      <c r="J1110" s="3" t="s">
        <v>85</v>
      </c>
      <c r="K1110" s="6">
        <v>150</v>
      </c>
      <c r="L1110" s="6"/>
      <c r="M1110" s="6">
        <f t="shared" si="102"/>
        <v>150</v>
      </c>
      <c r="N1110" s="8">
        <v>1990</v>
      </c>
      <c r="O1110" s="149"/>
    </row>
    <row r="1111" spans="1:15" s="9" customFormat="1" ht="16.5" customHeight="1">
      <c r="A1111" s="2">
        <v>62</v>
      </c>
      <c r="B1111" s="3">
        <v>20</v>
      </c>
      <c r="C1111" s="3">
        <v>1026</v>
      </c>
      <c r="D1111" s="3" t="s">
        <v>14</v>
      </c>
      <c r="E1111" s="3"/>
      <c r="F1111" s="4" t="s">
        <v>168</v>
      </c>
      <c r="G1111" s="5" t="s">
        <v>162</v>
      </c>
      <c r="H1111" s="4" t="s">
        <v>169</v>
      </c>
      <c r="I1111" s="3" t="s">
        <v>2575</v>
      </c>
      <c r="J1111" s="3" t="s">
        <v>85</v>
      </c>
      <c r="K1111" s="6">
        <v>80</v>
      </c>
      <c r="L1111" s="6"/>
      <c r="M1111" s="6">
        <f t="shared" si="102"/>
        <v>80</v>
      </c>
      <c r="N1111" s="8">
        <v>1990</v>
      </c>
      <c r="O1111" s="149"/>
    </row>
    <row r="1112" spans="1:15" s="9" customFormat="1" ht="16.5" customHeight="1">
      <c r="A1112" s="2">
        <v>62</v>
      </c>
      <c r="B1112" s="3">
        <v>21</v>
      </c>
      <c r="C1112" s="3">
        <v>1025</v>
      </c>
      <c r="D1112" s="3" t="s">
        <v>14</v>
      </c>
      <c r="E1112" s="3" t="s">
        <v>488</v>
      </c>
      <c r="F1112" s="4" t="s">
        <v>170</v>
      </c>
      <c r="G1112" s="5" t="s">
        <v>171</v>
      </c>
      <c r="H1112" s="4" t="s">
        <v>172</v>
      </c>
      <c r="I1112" s="3" t="s">
        <v>2575</v>
      </c>
      <c r="J1112" s="3" t="s">
        <v>85</v>
      </c>
      <c r="K1112" s="6">
        <v>250</v>
      </c>
      <c r="L1112" s="6">
        <v>50</v>
      </c>
      <c r="M1112" s="6">
        <f t="shared" si="102"/>
        <v>300</v>
      </c>
      <c r="N1112" s="8">
        <v>8610</v>
      </c>
      <c r="O1112" s="149"/>
    </row>
    <row r="1113" spans="1:15" s="9" customFormat="1" ht="16.5" customHeight="1">
      <c r="A1113" s="2">
        <v>62</v>
      </c>
      <c r="B1113" s="3">
        <v>22</v>
      </c>
      <c r="C1113" s="3">
        <v>1026</v>
      </c>
      <c r="D1113" s="3"/>
      <c r="E1113" s="3" t="s">
        <v>488</v>
      </c>
      <c r="F1113" s="4" t="s">
        <v>1745</v>
      </c>
      <c r="G1113" s="5" t="s">
        <v>1744</v>
      </c>
      <c r="H1113" s="4" t="s">
        <v>136</v>
      </c>
      <c r="I1113" s="3" t="s">
        <v>2579</v>
      </c>
      <c r="J1113" s="3" t="s">
        <v>85</v>
      </c>
      <c r="K1113" s="6"/>
      <c r="L1113" s="6">
        <v>50</v>
      </c>
      <c r="M1113" s="6">
        <f t="shared" si="102"/>
        <v>50</v>
      </c>
      <c r="N1113" s="8">
        <v>16070</v>
      </c>
      <c r="O1113" s="149"/>
    </row>
    <row r="1114" spans="1:15" s="9" customFormat="1" ht="16.5" customHeight="1">
      <c r="A1114" s="2">
        <v>62</v>
      </c>
      <c r="B1114" s="3">
        <v>23</v>
      </c>
      <c r="C1114" s="3">
        <v>1025</v>
      </c>
      <c r="D1114" s="3"/>
      <c r="E1114" s="3" t="s">
        <v>488</v>
      </c>
      <c r="F1114" s="4" t="s">
        <v>1748</v>
      </c>
      <c r="G1114" s="5" t="s">
        <v>1747</v>
      </c>
      <c r="H1114" s="4" t="s">
        <v>1746</v>
      </c>
      <c r="I1114" s="3" t="s">
        <v>2580</v>
      </c>
      <c r="J1114" s="3" t="s">
        <v>85</v>
      </c>
      <c r="K1114" s="6"/>
      <c r="L1114" s="6">
        <v>50</v>
      </c>
      <c r="M1114" s="6">
        <f t="shared" si="102"/>
        <v>50</v>
      </c>
      <c r="N1114" s="8">
        <v>14810</v>
      </c>
      <c r="O1114" s="149"/>
    </row>
    <row r="1115" spans="1:15" s="9" customFormat="1" ht="16.5" customHeight="1">
      <c r="A1115" s="2">
        <v>62</v>
      </c>
      <c r="B1115" s="3">
        <v>24</v>
      </c>
      <c r="C1115" s="3">
        <v>1026</v>
      </c>
      <c r="D1115" s="3" t="s">
        <v>75</v>
      </c>
      <c r="E1115" s="3"/>
      <c r="F1115" s="4" t="s">
        <v>173</v>
      </c>
      <c r="G1115" s="5" t="s">
        <v>174</v>
      </c>
      <c r="H1115" s="4" t="s">
        <v>175</v>
      </c>
      <c r="I1115" s="3" t="s">
        <v>2581</v>
      </c>
      <c r="J1115" s="3" t="s">
        <v>28</v>
      </c>
      <c r="K1115" s="6">
        <v>20</v>
      </c>
      <c r="L1115" s="6"/>
      <c r="M1115" s="6">
        <f t="shared" si="102"/>
        <v>20</v>
      </c>
      <c r="N1115" s="8">
        <v>11480</v>
      </c>
      <c r="O1115" s="149"/>
    </row>
    <row r="1116" spans="1:15" s="9" customFormat="1" ht="16.5" customHeight="1">
      <c r="A1116" s="2">
        <v>62</v>
      </c>
      <c r="B1116" s="3">
        <v>25</v>
      </c>
      <c r="C1116" s="3">
        <v>1025</v>
      </c>
      <c r="D1116" s="3" t="s">
        <v>14</v>
      </c>
      <c r="E1116" s="3"/>
      <c r="F1116" s="4" t="s">
        <v>177</v>
      </c>
      <c r="G1116" s="5" t="s">
        <v>178</v>
      </c>
      <c r="H1116" s="4" t="s">
        <v>179</v>
      </c>
      <c r="I1116" s="3" t="s">
        <v>2582</v>
      </c>
      <c r="J1116" s="3" t="s">
        <v>35</v>
      </c>
      <c r="K1116" s="6">
        <v>10</v>
      </c>
      <c r="L1116" s="6"/>
      <c r="M1116" s="6">
        <f t="shared" si="102"/>
        <v>10</v>
      </c>
      <c r="N1116" s="8">
        <v>5250</v>
      </c>
      <c r="O1116" s="149"/>
    </row>
    <row r="1117" spans="1:15" s="9" customFormat="1" ht="16.5" customHeight="1">
      <c r="A1117" s="2">
        <v>62</v>
      </c>
      <c r="B1117" s="3">
        <v>26</v>
      </c>
      <c r="C1117" s="3">
        <v>1026</v>
      </c>
      <c r="D1117" s="3" t="s">
        <v>14</v>
      </c>
      <c r="E1117" s="3"/>
      <c r="F1117" s="4" t="s">
        <v>180</v>
      </c>
      <c r="G1117" s="5" t="s">
        <v>178</v>
      </c>
      <c r="H1117" s="4" t="s">
        <v>181</v>
      </c>
      <c r="I1117" s="3" t="s">
        <v>2583</v>
      </c>
      <c r="J1117" s="3" t="s">
        <v>35</v>
      </c>
      <c r="K1117" s="6">
        <v>70</v>
      </c>
      <c r="L1117" s="6"/>
      <c r="M1117" s="6">
        <f t="shared" si="102"/>
        <v>70</v>
      </c>
      <c r="N1117" s="8">
        <v>7590</v>
      </c>
      <c r="O1117" s="149"/>
    </row>
    <row r="1118" spans="1:15" s="9" customFormat="1" ht="16.5" customHeight="1">
      <c r="A1118" s="2">
        <v>62</v>
      </c>
      <c r="B1118" s="3">
        <v>27</v>
      </c>
      <c r="C1118" s="3">
        <v>1025</v>
      </c>
      <c r="D1118" s="3" t="s">
        <v>14</v>
      </c>
      <c r="E1118" s="3"/>
      <c r="F1118" s="4" t="s">
        <v>182</v>
      </c>
      <c r="G1118" s="5" t="s">
        <v>178</v>
      </c>
      <c r="H1118" s="4" t="s">
        <v>183</v>
      </c>
      <c r="I1118" s="3" t="s">
        <v>2584</v>
      </c>
      <c r="J1118" s="3" t="s">
        <v>35</v>
      </c>
      <c r="K1118" s="6">
        <v>200</v>
      </c>
      <c r="L1118" s="6"/>
      <c r="M1118" s="6">
        <f t="shared" si="102"/>
        <v>200</v>
      </c>
      <c r="N1118" s="8">
        <v>8620</v>
      </c>
      <c r="O1118" s="149"/>
    </row>
    <row r="1119" spans="1:15" s="9" customFormat="1" ht="16.5" customHeight="1">
      <c r="A1119" s="2">
        <v>62</v>
      </c>
      <c r="B1119" s="3">
        <v>28</v>
      </c>
      <c r="C1119" s="3">
        <v>1026</v>
      </c>
      <c r="D1119" s="3" t="s">
        <v>14</v>
      </c>
      <c r="E1119" s="3"/>
      <c r="F1119" s="4" t="s">
        <v>184</v>
      </c>
      <c r="G1119" s="5" t="s">
        <v>178</v>
      </c>
      <c r="H1119" s="4" t="s">
        <v>185</v>
      </c>
      <c r="I1119" s="3" t="s">
        <v>2584</v>
      </c>
      <c r="J1119" s="3" t="s">
        <v>35</v>
      </c>
      <c r="K1119" s="6">
        <v>150</v>
      </c>
      <c r="L1119" s="6"/>
      <c r="M1119" s="6">
        <f t="shared" si="102"/>
        <v>150</v>
      </c>
      <c r="N1119" s="8">
        <v>8840</v>
      </c>
      <c r="O1119" s="149"/>
    </row>
    <row r="1120" spans="1:15" s="9" customFormat="1" ht="16.5" customHeight="1">
      <c r="A1120" s="2">
        <v>62</v>
      </c>
      <c r="B1120" s="3">
        <v>29</v>
      </c>
      <c r="C1120" s="3">
        <v>1025</v>
      </c>
      <c r="D1120" s="3" t="s">
        <v>14</v>
      </c>
      <c r="E1120" s="3"/>
      <c r="F1120" s="4" t="s">
        <v>186</v>
      </c>
      <c r="G1120" s="5" t="s">
        <v>187</v>
      </c>
      <c r="H1120" s="4" t="s">
        <v>188</v>
      </c>
      <c r="I1120" s="3" t="s">
        <v>2584</v>
      </c>
      <c r="J1120" s="3" t="s">
        <v>35</v>
      </c>
      <c r="K1120" s="6">
        <v>10</v>
      </c>
      <c r="L1120" s="6"/>
      <c r="M1120" s="6">
        <f t="shared" si="102"/>
        <v>10</v>
      </c>
      <c r="N1120" s="8">
        <v>15330</v>
      </c>
      <c r="O1120" s="149"/>
    </row>
    <row r="1121" spans="1:15" s="9" customFormat="1" ht="16.5" customHeight="1">
      <c r="A1121" s="2">
        <v>62</v>
      </c>
      <c r="B1121" s="3">
        <v>30</v>
      </c>
      <c r="C1121" s="3">
        <v>1026</v>
      </c>
      <c r="D1121" s="3" t="s">
        <v>14</v>
      </c>
      <c r="E1121" s="3"/>
      <c r="F1121" s="4" t="s">
        <v>189</v>
      </c>
      <c r="G1121" s="5" t="s">
        <v>187</v>
      </c>
      <c r="H1121" s="4" t="s">
        <v>190</v>
      </c>
      <c r="I1121" s="3" t="s">
        <v>2584</v>
      </c>
      <c r="J1121" s="3" t="s">
        <v>35</v>
      </c>
      <c r="K1121" s="6">
        <v>30</v>
      </c>
      <c r="L1121" s="6"/>
      <c r="M1121" s="6">
        <f t="shared" si="102"/>
        <v>30</v>
      </c>
      <c r="N1121" s="8">
        <v>17070</v>
      </c>
      <c r="O1121" s="149"/>
    </row>
    <row r="1122" spans="1:15" s="9" customFormat="1" ht="16.5" customHeight="1">
      <c r="A1122" s="2">
        <v>62</v>
      </c>
      <c r="B1122" s="3">
        <v>31</v>
      </c>
      <c r="C1122" s="3">
        <v>1025</v>
      </c>
      <c r="D1122" s="3" t="s">
        <v>14</v>
      </c>
      <c r="E1122" s="3"/>
      <c r="F1122" s="4" t="s">
        <v>191</v>
      </c>
      <c r="G1122" s="5" t="s">
        <v>187</v>
      </c>
      <c r="H1122" s="4" t="s">
        <v>192</v>
      </c>
      <c r="I1122" s="3" t="s">
        <v>2584</v>
      </c>
      <c r="J1122" s="3" t="s">
        <v>35</v>
      </c>
      <c r="K1122" s="6">
        <v>150</v>
      </c>
      <c r="L1122" s="6"/>
      <c r="M1122" s="6">
        <f t="shared" si="102"/>
        <v>150</v>
      </c>
      <c r="N1122" s="8">
        <v>27280</v>
      </c>
      <c r="O1122" s="149"/>
    </row>
    <row r="1123" spans="1:15" s="9" customFormat="1" ht="16.5" customHeight="1">
      <c r="A1123" s="2">
        <v>62</v>
      </c>
      <c r="B1123" s="3">
        <v>32</v>
      </c>
      <c r="C1123" s="3">
        <v>1026</v>
      </c>
      <c r="D1123" s="3" t="s">
        <v>14</v>
      </c>
      <c r="E1123" s="3"/>
      <c r="F1123" s="4" t="s">
        <v>193</v>
      </c>
      <c r="G1123" s="5" t="s">
        <v>187</v>
      </c>
      <c r="H1123" s="4" t="s">
        <v>194</v>
      </c>
      <c r="I1123" s="3" t="s">
        <v>2584</v>
      </c>
      <c r="J1123" s="3" t="s">
        <v>35</v>
      </c>
      <c r="K1123" s="6">
        <v>100</v>
      </c>
      <c r="L1123" s="6"/>
      <c r="M1123" s="6">
        <f t="shared" si="102"/>
        <v>100</v>
      </c>
      <c r="N1123" s="8">
        <v>20360</v>
      </c>
      <c r="O1123" s="149"/>
    </row>
    <row r="1124" spans="1:15" s="9" customFormat="1" ht="16.5" customHeight="1">
      <c r="A1124" s="2">
        <v>62</v>
      </c>
      <c r="B1124" s="3">
        <v>33</v>
      </c>
      <c r="C1124" s="3">
        <v>1025</v>
      </c>
      <c r="D1124" s="3" t="s">
        <v>14</v>
      </c>
      <c r="E1124" s="3"/>
      <c r="F1124" s="4" t="s">
        <v>195</v>
      </c>
      <c r="G1124" s="5" t="s">
        <v>187</v>
      </c>
      <c r="H1124" s="4" t="s">
        <v>196</v>
      </c>
      <c r="I1124" s="3" t="s">
        <v>2584</v>
      </c>
      <c r="J1124" s="3" t="s">
        <v>35</v>
      </c>
      <c r="K1124" s="6">
        <v>100</v>
      </c>
      <c r="L1124" s="6"/>
      <c r="M1124" s="6">
        <f t="shared" si="102"/>
        <v>100</v>
      </c>
      <c r="N1124" s="8">
        <v>27300</v>
      </c>
      <c r="O1124" s="149"/>
    </row>
    <row r="1125" spans="1:15" s="9" customFormat="1" ht="16.5" customHeight="1">
      <c r="A1125" s="2">
        <v>62</v>
      </c>
      <c r="B1125" s="3">
        <v>34</v>
      </c>
      <c r="C1125" s="3">
        <v>1026</v>
      </c>
      <c r="D1125" s="3" t="s">
        <v>14</v>
      </c>
      <c r="E1125" s="3"/>
      <c r="F1125" s="4" t="s">
        <v>197</v>
      </c>
      <c r="G1125" s="5" t="s">
        <v>187</v>
      </c>
      <c r="H1125" s="4" t="s">
        <v>74</v>
      </c>
      <c r="I1125" s="3" t="s">
        <v>2584</v>
      </c>
      <c r="J1125" s="3" t="s">
        <v>35</v>
      </c>
      <c r="K1125" s="6">
        <v>50</v>
      </c>
      <c r="L1125" s="6"/>
      <c r="M1125" s="6">
        <f t="shared" si="102"/>
        <v>50</v>
      </c>
      <c r="N1125" s="8">
        <v>32680</v>
      </c>
      <c r="O1125" s="149"/>
    </row>
    <row r="1126" spans="1:15" s="9" customFormat="1" ht="16.5" customHeight="1">
      <c r="A1126" s="2">
        <v>62</v>
      </c>
      <c r="B1126" s="3">
        <v>35</v>
      </c>
      <c r="C1126" s="3">
        <v>1025</v>
      </c>
      <c r="D1126" s="3" t="s">
        <v>14</v>
      </c>
      <c r="E1126" s="3"/>
      <c r="F1126" s="4" t="s">
        <v>198</v>
      </c>
      <c r="G1126" s="5" t="s">
        <v>187</v>
      </c>
      <c r="H1126" s="4" t="s">
        <v>199</v>
      </c>
      <c r="I1126" s="3" t="s">
        <v>2584</v>
      </c>
      <c r="J1126" s="3" t="s">
        <v>35</v>
      </c>
      <c r="K1126" s="6">
        <v>50</v>
      </c>
      <c r="L1126" s="6"/>
      <c r="M1126" s="6">
        <f t="shared" si="102"/>
        <v>50</v>
      </c>
      <c r="N1126" s="8">
        <v>49130</v>
      </c>
      <c r="O1126" s="149"/>
    </row>
    <row r="1127" spans="1:15" s="9" customFormat="1" ht="16.5" customHeight="1">
      <c r="A1127" s="2">
        <v>62</v>
      </c>
      <c r="B1127" s="3">
        <v>36</v>
      </c>
      <c r="C1127" s="3">
        <v>1026</v>
      </c>
      <c r="D1127" s="3" t="s">
        <v>14</v>
      </c>
      <c r="E1127" s="3"/>
      <c r="F1127" s="4" t="s">
        <v>200</v>
      </c>
      <c r="G1127" s="5" t="s">
        <v>187</v>
      </c>
      <c r="H1127" s="4" t="s">
        <v>201</v>
      </c>
      <c r="I1127" s="3" t="s">
        <v>2584</v>
      </c>
      <c r="J1127" s="3" t="s">
        <v>35</v>
      </c>
      <c r="K1127" s="6">
        <v>300</v>
      </c>
      <c r="L1127" s="6"/>
      <c r="M1127" s="6">
        <f t="shared" si="102"/>
        <v>300</v>
      </c>
      <c r="N1127" s="8">
        <v>32680</v>
      </c>
      <c r="O1127" s="149"/>
    </row>
    <row r="1128" spans="1:15" s="9" customFormat="1" ht="16.5" customHeight="1">
      <c r="A1128" s="2">
        <v>62</v>
      </c>
      <c r="B1128" s="3">
        <v>37</v>
      </c>
      <c r="C1128" s="3">
        <v>1025</v>
      </c>
      <c r="D1128" s="3" t="s">
        <v>14</v>
      </c>
      <c r="E1128" s="3"/>
      <c r="F1128" s="4" t="s">
        <v>202</v>
      </c>
      <c r="G1128" s="5" t="s">
        <v>187</v>
      </c>
      <c r="H1128" s="4" t="s">
        <v>203</v>
      </c>
      <c r="I1128" s="3" t="s">
        <v>2584</v>
      </c>
      <c r="J1128" s="3" t="s">
        <v>35</v>
      </c>
      <c r="K1128" s="6">
        <v>50</v>
      </c>
      <c r="L1128" s="6"/>
      <c r="M1128" s="6">
        <f t="shared" si="102"/>
        <v>50</v>
      </c>
      <c r="N1128" s="8">
        <v>60300</v>
      </c>
      <c r="O1128" s="149"/>
    </row>
    <row r="1129" spans="1:15" s="9" customFormat="1" ht="16.5" customHeight="1">
      <c r="A1129" s="2">
        <v>62</v>
      </c>
      <c r="B1129" s="3">
        <v>38</v>
      </c>
      <c r="C1129" s="3">
        <v>1026</v>
      </c>
      <c r="D1129" s="3" t="s">
        <v>75</v>
      </c>
      <c r="E1129" s="3"/>
      <c r="F1129" s="4"/>
      <c r="G1129" s="5" t="s">
        <v>204</v>
      </c>
      <c r="H1129" s="4" t="s">
        <v>205</v>
      </c>
      <c r="I1129" s="3" t="s">
        <v>2585</v>
      </c>
      <c r="J1129" s="3" t="s">
        <v>206</v>
      </c>
      <c r="K1129" s="6">
        <v>180</v>
      </c>
      <c r="L1129" s="6"/>
      <c r="M1129" s="6">
        <f t="shared" si="102"/>
        <v>180</v>
      </c>
      <c r="N1129" s="8" t="s">
        <v>2934</v>
      </c>
      <c r="O1129" s="149"/>
    </row>
    <row r="1130" spans="1:15" s="9" customFormat="1" ht="16.5" customHeight="1">
      <c r="A1130" s="2">
        <v>62</v>
      </c>
      <c r="B1130" s="3">
        <v>39</v>
      </c>
      <c r="C1130" s="3">
        <v>1025</v>
      </c>
      <c r="D1130" s="3" t="s">
        <v>75</v>
      </c>
      <c r="E1130" s="3"/>
      <c r="F1130" s="4"/>
      <c r="G1130" s="5" t="s">
        <v>204</v>
      </c>
      <c r="H1130" s="4" t="s">
        <v>207</v>
      </c>
      <c r="I1130" s="3" t="s">
        <v>2586</v>
      </c>
      <c r="J1130" s="3" t="s">
        <v>206</v>
      </c>
      <c r="K1130" s="6">
        <v>20</v>
      </c>
      <c r="L1130" s="6"/>
      <c r="M1130" s="6">
        <f t="shared" si="102"/>
        <v>20</v>
      </c>
      <c r="N1130" s="8" t="s">
        <v>2934</v>
      </c>
      <c r="O1130" s="149"/>
    </row>
    <row r="1131" spans="1:15" s="9" customFormat="1" ht="16.5" customHeight="1">
      <c r="A1131" s="2">
        <v>62</v>
      </c>
      <c r="B1131" s="3">
        <v>40</v>
      </c>
      <c r="C1131" s="3">
        <v>1026</v>
      </c>
      <c r="D1131" s="3" t="s">
        <v>14</v>
      </c>
      <c r="E1131" s="3"/>
      <c r="F1131" s="4" t="s">
        <v>208</v>
      </c>
      <c r="G1131" s="5" t="s">
        <v>209</v>
      </c>
      <c r="H1131" s="4" t="s">
        <v>210</v>
      </c>
      <c r="I1131" s="3" t="s">
        <v>2587</v>
      </c>
      <c r="J1131" s="3" t="s">
        <v>85</v>
      </c>
      <c r="K1131" s="6">
        <v>3</v>
      </c>
      <c r="L1131" s="6"/>
      <c r="M1131" s="6">
        <f t="shared" si="102"/>
        <v>3</v>
      </c>
      <c r="N1131" s="8" t="s">
        <v>19</v>
      </c>
      <c r="O1131" s="149"/>
    </row>
    <row r="1132" spans="1:15" s="9" customFormat="1" ht="16.5" customHeight="1">
      <c r="A1132" s="2">
        <v>62</v>
      </c>
      <c r="B1132" s="3">
        <v>41</v>
      </c>
      <c r="C1132" s="3">
        <v>1025</v>
      </c>
      <c r="D1132" s="3" t="s">
        <v>33</v>
      </c>
      <c r="E1132" s="3" t="s">
        <v>1705</v>
      </c>
      <c r="F1132" s="4" t="s">
        <v>211</v>
      </c>
      <c r="G1132" s="5" t="s">
        <v>212</v>
      </c>
      <c r="H1132" s="4" t="s">
        <v>213</v>
      </c>
      <c r="I1132" s="3" t="s">
        <v>2588</v>
      </c>
      <c r="J1132" s="3" t="s">
        <v>79</v>
      </c>
      <c r="K1132" s="6">
        <v>20</v>
      </c>
      <c r="L1132" s="6">
        <v>540</v>
      </c>
      <c r="M1132" s="6">
        <f t="shared" si="102"/>
        <v>560</v>
      </c>
      <c r="N1132" s="8">
        <v>7590</v>
      </c>
      <c r="O1132" s="149"/>
    </row>
    <row r="1133" spans="1:15" s="9" customFormat="1" ht="16.5" customHeight="1">
      <c r="A1133" s="2">
        <v>62</v>
      </c>
      <c r="B1133" s="3">
        <v>42</v>
      </c>
      <c r="C1133" s="3">
        <v>1026</v>
      </c>
      <c r="D1133" s="3" t="s">
        <v>33</v>
      </c>
      <c r="E1133" s="3" t="s">
        <v>1705</v>
      </c>
      <c r="F1133" s="4" t="s">
        <v>214</v>
      </c>
      <c r="G1133" s="5" t="s">
        <v>212</v>
      </c>
      <c r="H1133" s="4" t="s">
        <v>215</v>
      </c>
      <c r="I1133" s="3" t="s">
        <v>2588</v>
      </c>
      <c r="J1133" s="3" t="s">
        <v>79</v>
      </c>
      <c r="K1133" s="6">
        <v>50</v>
      </c>
      <c r="L1133" s="6">
        <v>120</v>
      </c>
      <c r="M1133" s="6">
        <f t="shared" si="102"/>
        <v>170</v>
      </c>
      <c r="N1133" s="8">
        <v>8620</v>
      </c>
      <c r="O1133" s="149"/>
    </row>
    <row r="1134" spans="1:15" s="9" customFormat="1" ht="16.5" customHeight="1">
      <c r="A1134" s="2">
        <v>62</v>
      </c>
      <c r="B1134" s="3">
        <v>43</v>
      </c>
      <c r="C1134" s="3">
        <v>1025</v>
      </c>
      <c r="D1134" s="3" t="s">
        <v>33</v>
      </c>
      <c r="E1134" s="3" t="s">
        <v>1705</v>
      </c>
      <c r="F1134" s="4" t="s">
        <v>216</v>
      </c>
      <c r="G1134" s="5" t="s">
        <v>212</v>
      </c>
      <c r="H1134" s="4" t="s">
        <v>217</v>
      </c>
      <c r="I1134" s="3" t="s">
        <v>2588</v>
      </c>
      <c r="J1134" s="3" t="s">
        <v>79</v>
      </c>
      <c r="K1134" s="6">
        <v>50</v>
      </c>
      <c r="L1134" s="6">
        <v>10</v>
      </c>
      <c r="M1134" s="6">
        <f t="shared" si="102"/>
        <v>60</v>
      </c>
      <c r="N1134" s="8">
        <v>8840</v>
      </c>
      <c r="O1134" s="149"/>
    </row>
    <row r="1135" spans="1:15" s="9" customFormat="1" ht="16.5" customHeight="1">
      <c r="A1135" s="2">
        <v>62</v>
      </c>
      <c r="B1135" s="3">
        <v>44</v>
      </c>
      <c r="C1135" s="3">
        <v>1026</v>
      </c>
      <c r="D1135" s="3" t="s">
        <v>75</v>
      </c>
      <c r="E1135" s="3"/>
      <c r="F1135" s="4" t="s">
        <v>218</v>
      </c>
      <c r="G1135" s="5" t="s">
        <v>219</v>
      </c>
      <c r="H1135" s="4" t="s">
        <v>220</v>
      </c>
      <c r="I1135" s="3" t="s">
        <v>2588</v>
      </c>
      <c r="J1135" s="3" t="s">
        <v>79</v>
      </c>
      <c r="K1135" s="6">
        <v>50</v>
      </c>
      <c r="L1135" s="6"/>
      <c r="M1135" s="6">
        <f t="shared" si="102"/>
        <v>50</v>
      </c>
      <c r="N1135" s="8">
        <v>15580</v>
      </c>
      <c r="O1135" s="149"/>
    </row>
    <row r="1136" spans="1:15" s="9" customFormat="1" ht="16.5" customHeight="1">
      <c r="A1136" s="2">
        <v>62</v>
      </c>
      <c r="B1136" s="3">
        <v>45</v>
      </c>
      <c r="C1136" s="3">
        <v>1025</v>
      </c>
      <c r="D1136" s="3" t="s">
        <v>33</v>
      </c>
      <c r="E1136" s="3" t="s">
        <v>1705</v>
      </c>
      <c r="F1136" s="4" t="s">
        <v>221</v>
      </c>
      <c r="G1136" s="5" t="s">
        <v>219</v>
      </c>
      <c r="H1136" s="4" t="s">
        <v>222</v>
      </c>
      <c r="I1136" s="3" t="s">
        <v>2588</v>
      </c>
      <c r="J1136" s="3" t="s">
        <v>79</v>
      </c>
      <c r="K1136" s="6">
        <v>100</v>
      </c>
      <c r="L1136" s="6">
        <v>80</v>
      </c>
      <c r="M1136" s="6">
        <f t="shared" si="102"/>
        <v>180</v>
      </c>
      <c r="N1136" s="8">
        <v>17070</v>
      </c>
      <c r="O1136" s="149"/>
    </row>
    <row r="1137" spans="1:15" s="9" customFormat="1" ht="16.5" customHeight="1">
      <c r="A1137" s="2">
        <v>62</v>
      </c>
      <c r="B1137" s="3">
        <v>46</v>
      </c>
      <c r="C1137" s="3">
        <v>1026</v>
      </c>
      <c r="D1137" s="3" t="s">
        <v>75</v>
      </c>
      <c r="E1137" s="3" t="s">
        <v>1705</v>
      </c>
      <c r="F1137" s="4" t="s">
        <v>223</v>
      </c>
      <c r="G1137" s="5" t="s">
        <v>219</v>
      </c>
      <c r="H1137" s="4" t="s">
        <v>224</v>
      </c>
      <c r="I1137" s="3" t="s">
        <v>2588</v>
      </c>
      <c r="J1137" s="3" t="s">
        <v>79</v>
      </c>
      <c r="K1137" s="6">
        <v>70</v>
      </c>
      <c r="L1137" s="6">
        <v>200</v>
      </c>
      <c r="M1137" s="6">
        <f t="shared" si="102"/>
        <v>270</v>
      </c>
      <c r="N1137" s="8">
        <v>27300</v>
      </c>
      <c r="O1137" s="149"/>
    </row>
    <row r="1138" spans="1:15" s="9" customFormat="1" ht="16.5" customHeight="1">
      <c r="A1138" s="2">
        <v>62</v>
      </c>
      <c r="B1138" s="3">
        <v>47</v>
      </c>
      <c r="C1138" s="3">
        <v>1025</v>
      </c>
      <c r="D1138" s="3" t="s">
        <v>75</v>
      </c>
      <c r="E1138" s="3" t="s">
        <v>1705</v>
      </c>
      <c r="F1138" s="4" t="s">
        <v>225</v>
      </c>
      <c r="G1138" s="5" t="s">
        <v>219</v>
      </c>
      <c r="H1138" s="4" t="s">
        <v>226</v>
      </c>
      <c r="I1138" s="3" t="s">
        <v>2588</v>
      </c>
      <c r="J1138" s="3" t="s">
        <v>79</v>
      </c>
      <c r="K1138" s="6">
        <v>70</v>
      </c>
      <c r="L1138" s="6">
        <v>40</v>
      </c>
      <c r="M1138" s="6">
        <f t="shared" si="102"/>
        <v>110</v>
      </c>
      <c r="N1138" s="8">
        <v>20360</v>
      </c>
      <c r="O1138" s="149"/>
    </row>
    <row r="1139" spans="1:15" s="9" customFormat="1" ht="16.5" customHeight="1">
      <c r="A1139" s="2">
        <v>62</v>
      </c>
      <c r="B1139" s="3">
        <v>48</v>
      </c>
      <c r="C1139" s="3">
        <v>1026</v>
      </c>
      <c r="D1139" s="3" t="s">
        <v>75</v>
      </c>
      <c r="E1139" s="3" t="s">
        <v>1705</v>
      </c>
      <c r="F1139" s="4" t="s">
        <v>227</v>
      </c>
      <c r="G1139" s="5" t="s">
        <v>219</v>
      </c>
      <c r="H1139" s="4" t="s">
        <v>228</v>
      </c>
      <c r="I1139" s="3" t="s">
        <v>2589</v>
      </c>
      <c r="J1139" s="3" t="s">
        <v>79</v>
      </c>
      <c r="K1139" s="6">
        <v>70</v>
      </c>
      <c r="L1139" s="6">
        <v>210</v>
      </c>
      <c r="M1139" s="6">
        <f t="shared" si="102"/>
        <v>280</v>
      </c>
      <c r="N1139" s="8">
        <v>27300</v>
      </c>
      <c r="O1139" s="149"/>
    </row>
    <row r="1140" spans="1:15" s="9" customFormat="1" ht="16.5" customHeight="1">
      <c r="A1140" s="2">
        <v>62</v>
      </c>
      <c r="B1140" s="3">
        <v>49</v>
      </c>
      <c r="C1140" s="3">
        <v>1025</v>
      </c>
      <c r="D1140" s="3" t="s">
        <v>75</v>
      </c>
      <c r="E1140" s="3" t="s">
        <v>1705</v>
      </c>
      <c r="F1140" s="4" t="s">
        <v>229</v>
      </c>
      <c r="G1140" s="5" t="s">
        <v>219</v>
      </c>
      <c r="H1140" s="4" t="s">
        <v>230</v>
      </c>
      <c r="I1140" s="3" t="s">
        <v>2589</v>
      </c>
      <c r="J1140" s="3" t="s">
        <v>79</v>
      </c>
      <c r="K1140" s="6">
        <v>100</v>
      </c>
      <c r="L1140" s="6">
        <v>50</v>
      </c>
      <c r="M1140" s="6">
        <f t="shared" si="102"/>
        <v>150</v>
      </c>
      <c r="N1140" s="8">
        <v>32680</v>
      </c>
      <c r="O1140" s="149"/>
    </row>
    <row r="1141" spans="1:15" s="9" customFormat="1" ht="16.5" customHeight="1">
      <c r="A1141" s="2">
        <v>62</v>
      </c>
      <c r="B1141" s="3">
        <v>50</v>
      </c>
      <c r="C1141" s="3">
        <v>1026</v>
      </c>
      <c r="D1141" s="3" t="s">
        <v>75</v>
      </c>
      <c r="E1141" s="3" t="s">
        <v>1705</v>
      </c>
      <c r="F1141" s="4" t="s">
        <v>231</v>
      </c>
      <c r="G1141" s="5" t="s">
        <v>219</v>
      </c>
      <c r="H1141" s="4" t="s">
        <v>232</v>
      </c>
      <c r="I1141" s="3" t="s">
        <v>2588</v>
      </c>
      <c r="J1141" s="3" t="s">
        <v>79</v>
      </c>
      <c r="K1141" s="6">
        <v>30</v>
      </c>
      <c r="L1141" s="6">
        <v>100</v>
      </c>
      <c r="M1141" s="6">
        <f t="shared" si="102"/>
        <v>130</v>
      </c>
      <c r="N1141" s="8">
        <v>49130</v>
      </c>
      <c r="O1141" s="149"/>
    </row>
    <row r="1142" spans="1:15" s="9" customFormat="1" ht="16.5" customHeight="1">
      <c r="A1142" s="2">
        <v>62</v>
      </c>
      <c r="B1142" s="3">
        <v>51</v>
      </c>
      <c r="C1142" s="3">
        <v>1025</v>
      </c>
      <c r="D1142" s="3"/>
      <c r="E1142" s="3" t="s">
        <v>488</v>
      </c>
      <c r="F1142" s="4" t="s">
        <v>1741</v>
      </c>
      <c r="G1142" s="5" t="s">
        <v>1742</v>
      </c>
      <c r="H1142" s="4" t="s">
        <v>1699</v>
      </c>
      <c r="I1142" s="3" t="s">
        <v>2588</v>
      </c>
      <c r="J1142" s="3" t="s">
        <v>1743</v>
      </c>
      <c r="K1142" s="6"/>
      <c r="L1142" s="6">
        <v>170</v>
      </c>
      <c r="M1142" s="6">
        <f t="shared" si="102"/>
        <v>170</v>
      </c>
      <c r="N1142" s="8">
        <v>5250</v>
      </c>
      <c r="O1142" s="149"/>
    </row>
    <row r="1143" spans="1:15" s="9" customFormat="1" ht="16.5" customHeight="1">
      <c r="A1143" s="2">
        <v>62</v>
      </c>
      <c r="B1143" s="3">
        <v>52</v>
      </c>
      <c r="C1143" s="3">
        <v>1026</v>
      </c>
      <c r="D1143" s="3" t="s">
        <v>75</v>
      </c>
      <c r="E1143" s="3"/>
      <c r="F1143" s="4" t="s">
        <v>233</v>
      </c>
      <c r="G1143" s="5" t="s">
        <v>219</v>
      </c>
      <c r="H1143" s="4" t="s">
        <v>234</v>
      </c>
      <c r="I1143" s="3" t="s">
        <v>2589</v>
      </c>
      <c r="J1143" s="3" t="s">
        <v>79</v>
      </c>
      <c r="K1143" s="6">
        <v>130</v>
      </c>
      <c r="L1143" s="6"/>
      <c r="M1143" s="6">
        <f t="shared" si="102"/>
        <v>130</v>
      </c>
      <c r="N1143" s="8">
        <v>32680</v>
      </c>
      <c r="O1143" s="149"/>
    </row>
    <row r="1144" spans="1:15" s="9" customFormat="1" ht="16.5" customHeight="1">
      <c r="A1144" s="2">
        <v>62</v>
      </c>
      <c r="B1144" s="3">
        <v>53</v>
      </c>
      <c r="C1144" s="3">
        <v>1025</v>
      </c>
      <c r="D1144" s="3" t="s">
        <v>75</v>
      </c>
      <c r="E1144" s="3"/>
      <c r="F1144" s="4" t="s">
        <v>235</v>
      </c>
      <c r="G1144" s="5" t="s">
        <v>219</v>
      </c>
      <c r="H1144" s="4" t="s">
        <v>236</v>
      </c>
      <c r="I1144" s="3" t="s">
        <v>2588</v>
      </c>
      <c r="J1144" s="3" t="s">
        <v>79</v>
      </c>
      <c r="K1144" s="6">
        <v>50</v>
      </c>
      <c r="L1144" s="6"/>
      <c r="M1144" s="6">
        <f t="shared" si="102"/>
        <v>50</v>
      </c>
      <c r="N1144" s="8">
        <v>60300</v>
      </c>
      <c r="O1144" s="149"/>
    </row>
    <row r="1145" spans="1:15" s="9" customFormat="1" ht="16.5" customHeight="1">
      <c r="A1145" s="2">
        <v>62</v>
      </c>
      <c r="B1145" s="3">
        <v>54</v>
      </c>
      <c r="C1145" s="3">
        <v>1026</v>
      </c>
      <c r="D1145" s="3" t="s">
        <v>237</v>
      </c>
      <c r="E1145" s="3"/>
      <c r="F1145" s="4" t="s">
        <v>238</v>
      </c>
      <c r="G1145" s="5" t="s">
        <v>239</v>
      </c>
      <c r="H1145" s="4" t="s">
        <v>240</v>
      </c>
      <c r="I1145" s="3" t="s">
        <v>2590</v>
      </c>
      <c r="J1145" s="3" t="s">
        <v>79</v>
      </c>
      <c r="K1145" s="6">
        <v>50</v>
      </c>
      <c r="L1145" s="6"/>
      <c r="M1145" s="6">
        <f t="shared" si="102"/>
        <v>50</v>
      </c>
      <c r="N1145" s="8">
        <v>31330</v>
      </c>
      <c r="O1145" s="149"/>
    </row>
    <row r="1146" spans="1:15" s="9" customFormat="1" ht="16.5" customHeight="1">
      <c r="A1146" s="2">
        <v>62</v>
      </c>
      <c r="B1146" s="3">
        <v>55</v>
      </c>
      <c r="C1146" s="3">
        <v>1025</v>
      </c>
      <c r="D1146" s="3" t="s">
        <v>237</v>
      </c>
      <c r="E1146" s="3"/>
      <c r="F1146" s="4" t="s">
        <v>238</v>
      </c>
      <c r="G1146" s="5" t="s">
        <v>239</v>
      </c>
      <c r="H1146" s="4" t="s">
        <v>241</v>
      </c>
      <c r="I1146" s="3" t="s">
        <v>2590</v>
      </c>
      <c r="J1146" s="3" t="s">
        <v>79</v>
      </c>
      <c r="K1146" s="6">
        <v>50</v>
      </c>
      <c r="L1146" s="6"/>
      <c r="M1146" s="6">
        <f t="shared" si="102"/>
        <v>50</v>
      </c>
      <c r="N1146" s="8">
        <v>31330</v>
      </c>
      <c r="O1146" s="149"/>
    </row>
    <row r="1147" spans="1:15" s="9" customFormat="1" ht="16.5" customHeight="1">
      <c r="A1147" s="2">
        <v>62</v>
      </c>
      <c r="B1147" s="3">
        <v>56</v>
      </c>
      <c r="C1147" s="3">
        <v>1026</v>
      </c>
      <c r="D1147" s="3" t="s">
        <v>237</v>
      </c>
      <c r="E1147" s="3"/>
      <c r="F1147" s="4" t="s">
        <v>238</v>
      </c>
      <c r="G1147" s="5" t="s">
        <v>242</v>
      </c>
      <c r="H1147" s="4" t="s">
        <v>240</v>
      </c>
      <c r="I1147" s="3" t="s">
        <v>2591</v>
      </c>
      <c r="J1147" s="3" t="s">
        <v>79</v>
      </c>
      <c r="K1147" s="6">
        <v>50</v>
      </c>
      <c r="L1147" s="6"/>
      <c r="M1147" s="6">
        <f t="shared" si="102"/>
        <v>50</v>
      </c>
      <c r="N1147" s="8">
        <v>31330</v>
      </c>
      <c r="O1147" s="149"/>
    </row>
    <row r="1148" spans="1:15" s="9" customFormat="1" ht="16.5" customHeight="1">
      <c r="A1148" s="2">
        <v>62</v>
      </c>
      <c r="B1148" s="3">
        <v>57</v>
      </c>
      <c r="C1148" s="3">
        <v>1025</v>
      </c>
      <c r="D1148" s="3" t="s">
        <v>237</v>
      </c>
      <c r="E1148" s="3"/>
      <c r="F1148" s="4" t="s">
        <v>243</v>
      </c>
      <c r="G1148" s="5" t="s">
        <v>242</v>
      </c>
      <c r="H1148" s="4" t="s">
        <v>241</v>
      </c>
      <c r="I1148" s="3" t="s">
        <v>2592</v>
      </c>
      <c r="J1148" s="3" t="s">
        <v>79</v>
      </c>
      <c r="K1148" s="6">
        <v>50</v>
      </c>
      <c r="L1148" s="6"/>
      <c r="M1148" s="6">
        <f t="shared" si="102"/>
        <v>50</v>
      </c>
      <c r="N1148" s="8">
        <v>31330</v>
      </c>
      <c r="O1148" s="149"/>
    </row>
    <row r="1149" spans="1:15" s="9" customFormat="1" ht="16.5" customHeight="1">
      <c r="A1149" s="2">
        <v>62</v>
      </c>
      <c r="B1149" s="3">
        <v>58</v>
      </c>
      <c r="C1149" s="3">
        <v>1026</v>
      </c>
      <c r="D1149" s="3" t="s">
        <v>237</v>
      </c>
      <c r="E1149" s="3"/>
      <c r="F1149" s="4" t="s">
        <v>243</v>
      </c>
      <c r="G1149" s="5" t="s">
        <v>244</v>
      </c>
      <c r="H1149" s="4" t="s">
        <v>240</v>
      </c>
      <c r="I1149" s="3" t="s">
        <v>2590</v>
      </c>
      <c r="J1149" s="3" t="s">
        <v>79</v>
      </c>
      <c r="K1149" s="6">
        <v>10</v>
      </c>
      <c r="L1149" s="6"/>
      <c r="M1149" s="6">
        <f t="shared" si="102"/>
        <v>10</v>
      </c>
      <c r="N1149" s="8">
        <v>31330</v>
      </c>
      <c r="O1149" s="149"/>
    </row>
    <row r="1150" spans="1:15" s="9" customFormat="1" ht="16.5" customHeight="1">
      <c r="A1150" s="2">
        <v>62</v>
      </c>
      <c r="B1150" s="3">
        <v>59</v>
      </c>
      <c r="C1150" s="3">
        <v>1025</v>
      </c>
      <c r="D1150" s="3" t="s">
        <v>237</v>
      </c>
      <c r="E1150" s="3"/>
      <c r="F1150" s="4" t="s">
        <v>243</v>
      </c>
      <c r="G1150" s="5" t="s">
        <v>244</v>
      </c>
      <c r="H1150" s="4" t="s">
        <v>241</v>
      </c>
      <c r="I1150" s="3" t="s">
        <v>2592</v>
      </c>
      <c r="J1150" s="3" t="s">
        <v>79</v>
      </c>
      <c r="K1150" s="6">
        <v>10</v>
      </c>
      <c r="L1150" s="6"/>
      <c r="M1150" s="6">
        <f t="shared" si="102"/>
        <v>10</v>
      </c>
      <c r="N1150" s="8">
        <v>31330</v>
      </c>
      <c r="O1150" s="149"/>
    </row>
    <row r="1151" spans="1:15" s="9" customFormat="1" ht="16.5" customHeight="1">
      <c r="A1151" s="2">
        <v>62</v>
      </c>
      <c r="B1151" s="3">
        <v>60</v>
      </c>
      <c r="C1151" s="3">
        <v>1026</v>
      </c>
      <c r="D1151" s="3" t="s">
        <v>237</v>
      </c>
      <c r="E1151" s="3"/>
      <c r="F1151" s="4" t="s">
        <v>243</v>
      </c>
      <c r="G1151" s="5" t="s">
        <v>245</v>
      </c>
      <c r="H1151" s="4" t="s">
        <v>240</v>
      </c>
      <c r="I1151" s="3" t="s">
        <v>2593</v>
      </c>
      <c r="J1151" s="3" t="s">
        <v>79</v>
      </c>
      <c r="K1151" s="6">
        <v>10</v>
      </c>
      <c r="L1151" s="6"/>
      <c r="M1151" s="6">
        <f t="shared" si="102"/>
        <v>10</v>
      </c>
      <c r="N1151" s="8">
        <v>31330</v>
      </c>
      <c r="O1151" s="149"/>
    </row>
    <row r="1152" spans="1:15" s="9" customFormat="1" ht="16.5" customHeight="1">
      <c r="A1152" s="2">
        <v>62</v>
      </c>
      <c r="B1152" s="3">
        <v>61</v>
      </c>
      <c r="C1152" s="3">
        <v>1025</v>
      </c>
      <c r="D1152" s="3" t="s">
        <v>237</v>
      </c>
      <c r="E1152" s="3"/>
      <c r="F1152" s="4" t="s">
        <v>243</v>
      </c>
      <c r="G1152" s="5" t="s">
        <v>245</v>
      </c>
      <c r="H1152" s="4" t="s">
        <v>241</v>
      </c>
      <c r="I1152" s="3" t="s">
        <v>2591</v>
      </c>
      <c r="J1152" s="3" t="s">
        <v>79</v>
      </c>
      <c r="K1152" s="6">
        <v>10</v>
      </c>
      <c r="L1152" s="6"/>
      <c r="M1152" s="6">
        <f t="shared" ref="M1152:M1172" si="103">K1152+L1152</f>
        <v>10</v>
      </c>
      <c r="N1152" s="8">
        <v>31330</v>
      </c>
      <c r="O1152" s="149"/>
    </row>
    <row r="1153" spans="1:15" s="9" customFormat="1" ht="16.5" customHeight="1">
      <c r="A1153" s="2">
        <v>62</v>
      </c>
      <c r="B1153" s="3">
        <v>62</v>
      </c>
      <c r="C1153" s="3">
        <v>1026</v>
      </c>
      <c r="D1153" s="3" t="s">
        <v>237</v>
      </c>
      <c r="E1153" s="3"/>
      <c r="F1153" s="4" t="s">
        <v>243</v>
      </c>
      <c r="G1153" s="5" t="s">
        <v>246</v>
      </c>
      <c r="H1153" s="4" t="s">
        <v>240</v>
      </c>
      <c r="I1153" s="3" t="s">
        <v>2593</v>
      </c>
      <c r="J1153" s="3" t="s">
        <v>79</v>
      </c>
      <c r="K1153" s="6">
        <v>10</v>
      </c>
      <c r="L1153" s="6"/>
      <c r="M1153" s="6">
        <f t="shared" si="103"/>
        <v>10</v>
      </c>
      <c r="N1153" s="8">
        <v>31330</v>
      </c>
      <c r="O1153" s="149"/>
    </row>
    <row r="1154" spans="1:15" s="9" customFormat="1" ht="16.5" customHeight="1">
      <c r="A1154" s="2">
        <v>62</v>
      </c>
      <c r="B1154" s="3">
        <v>63</v>
      </c>
      <c r="C1154" s="3">
        <v>1025</v>
      </c>
      <c r="D1154" s="3" t="s">
        <v>237</v>
      </c>
      <c r="E1154" s="3"/>
      <c r="F1154" s="4" t="s">
        <v>243</v>
      </c>
      <c r="G1154" s="5" t="s">
        <v>246</v>
      </c>
      <c r="H1154" s="4" t="s">
        <v>241</v>
      </c>
      <c r="I1154" s="3" t="s">
        <v>2590</v>
      </c>
      <c r="J1154" s="3" t="s">
        <v>79</v>
      </c>
      <c r="K1154" s="6">
        <v>10</v>
      </c>
      <c r="L1154" s="6"/>
      <c r="M1154" s="6">
        <f t="shared" si="103"/>
        <v>10</v>
      </c>
      <c r="N1154" s="8">
        <v>31330</v>
      </c>
      <c r="O1154" s="149"/>
    </row>
    <row r="1155" spans="1:15" s="9" customFormat="1" ht="16.5" customHeight="1">
      <c r="A1155" s="2">
        <v>62</v>
      </c>
      <c r="B1155" s="3">
        <v>64</v>
      </c>
      <c r="C1155" s="3">
        <v>1026</v>
      </c>
      <c r="D1155" s="3" t="s">
        <v>237</v>
      </c>
      <c r="E1155" s="3"/>
      <c r="F1155" s="4" t="s">
        <v>243</v>
      </c>
      <c r="G1155" s="5" t="s">
        <v>247</v>
      </c>
      <c r="H1155" s="4" t="s">
        <v>240</v>
      </c>
      <c r="I1155" s="3" t="s">
        <v>2590</v>
      </c>
      <c r="J1155" s="3" t="s">
        <v>79</v>
      </c>
      <c r="K1155" s="6">
        <v>10</v>
      </c>
      <c r="L1155" s="6"/>
      <c r="M1155" s="6">
        <f t="shared" si="103"/>
        <v>10</v>
      </c>
      <c r="N1155" s="8">
        <v>31330</v>
      </c>
      <c r="O1155" s="149"/>
    </row>
    <row r="1156" spans="1:15" s="9" customFormat="1" ht="16.5" customHeight="1">
      <c r="A1156" s="2">
        <v>62</v>
      </c>
      <c r="B1156" s="3">
        <v>65</v>
      </c>
      <c r="C1156" s="3">
        <v>1025</v>
      </c>
      <c r="D1156" s="3" t="s">
        <v>237</v>
      </c>
      <c r="E1156" s="3"/>
      <c r="F1156" s="4" t="s">
        <v>243</v>
      </c>
      <c r="G1156" s="5" t="s">
        <v>247</v>
      </c>
      <c r="H1156" s="4" t="s">
        <v>241</v>
      </c>
      <c r="I1156" s="3" t="s">
        <v>2590</v>
      </c>
      <c r="J1156" s="3" t="s">
        <v>79</v>
      </c>
      <c r="K1156" s="6">
        <v>10</v>
      </c>
      <c r="L1156" s="6"/>
      <c r="M1156" s="6">
        <f t="shared" si="103"/>
        <v>10</v>
      </c>
      <c r="N1156" s="8">
        <v>31330</v>
      </c>
      <c r="O1156" s="149"/>
    </row>
    <row r="1157" spans="1:15" s="9" customFormat="1" ht="16.5" customHeight="1">
      <c r="A1157" s="2">
        <v>62</v>
      </c>
      <c r="B1157" s="3">
        <v>66</v>
      </c>
      <c r="C1157" s="3">
        <v>1026</v>
      </c>
      <c r="D1157" s="3" t="s">
        <v>237</v>
      </c>
      <c r="E1157" s="3"/>
      <c r="F1157" s="4" t="s">
        <v>243</v>
      </c>
      <c r="G1157" s="5" t="s">
        <v>248</v>
      </c>
      <c r="H1157" s="4" t="s">
        <v>240</v>
      </c>
      <c r="I1157" s="3" t="s">
        <v>2590</v>
      </c>
      <c r="J1157" s="3" t="s">
        <v>79</v>
      </c>
      <c r="K1157" s="6">
        <v>2</v>
      </c>
      <c r="L1157" s="6"/>
      <c r="M1157" s="6">
        <f t="shared" si="103"/>
        <v>2</v>
      </c>
      <c r="N1157" s="8">
        <v>31330</v>
      </c>
      <c r="O1157" s="149"/>
    </row>
    <row r="1158" spans="1:15" s="9" customFormat="1" ht="16.5" customHeight="1">
      <c r="A1158" s="2">
        <v>62</v>
      </c>
      <c r="B1158" s="3">
        <v>67</v>
      </c>
      <c r="C1158" s="3">
        <v>1025</v>
      </c>
      <c r="D1158" s="3" t="s">
        <v>237</v>
      </c>
      <c r="E1158" s="3"/>
      <c r="F1158" s="4" t="s">
        <v>243</v>
      </c>
      <c r="G1158" s="5" t="s">
        <v>248</v>
      </c>
      <c r="H1158" s="4" t="s">
        <v>241</v>
      </c>
      <c r="I1158" s="3" t="s">
        <v>2590</v>
      </c>
      <c r="J1158" s="3" t="s">
        <v>79</v>
      </c>
      <c r="K1158" s="6">
        <v>2</v>
      </c>
      <c r="L1158" s="6"/>
      <c r="M1158" s="6">
        <f t="shared" si="103"/>
        <v>2</v>
      </c>
      <c r="N1158" s="8">
        <v>31330</v>
      </c>
      <c r="O1158" s="149"/>
    </row>
    <row r="1159" spans="1:15" s="9" customFormat="1" ht="16.5" customHeight="1">
      <c r="A1159" s="2">
        <v>62</v>
      </c>
      <c r="B1159" s="3">
        <v>68</v>
      </c>
      <c r="C1159" s="3">
        <v>1026</v>
      </c>
      <c r="D1159" s="3" t="s">
        <v>237</v>
      </c>
      <c r="E1159" s="3"/>
      <c r="F1159" s="4" t="s">
        <v>243</v>
      </c>
      <c r="G1159" s="5" t="s">
        <v>249</v>
      </c>
      <c r="H1159" s="4" t="s">
        <v>240</v>
      </c>
      <c r="I1159" s="3" t="s">
        <v>2593</v>
      </c>
      <c r="J1159" s="3" t="s">
        <v>79</v>
      </c>
      <c r="K1159" s="6">
        <v>10</v>
      </c>
      <c r="L1159" s="6"/>
      <c r="M1159" s="6">
        <f t="shared" si="103"/>
        <v>10</v>
      </c>
      <c r="N1159" s="8">
        <v>31330</v>
      </c>
      <c r="O1159" s="149"/>
    </row>
    <row r="1160" spans="1:15" s="9" customFormat="1" ht="16.5" customHeight="1">
      <c r="A1160" s="2">
        <v>62</v>
      </c>
      <c r="B1160" s="3">
        <v>69</v>
      </c>
      <c r="C1160" s="3">
        <v>1025</v>
      </c>
      <c r="D1160" s="3" t="s">
        <v>237</v>
      </c>
      <c r="E1160" s="3"/>
      <c r="F1160" s="4" t="s">
        <v>243</v>
      </c>
      <c r="G1160" s="5" t="s">
        <v>249</v>
      </c>
      <c r="H1160" s="4" t="s">
        <v>241</v>
      </c>
      <c r="I1160" s="3" t="s">
        <v>2593</v>
      </c>
      <c r="J1160" s="3" t="s">
        <v>79</v>
      </c>
      <c r="K1160" s="6">
        <v>10</v>
      </c>
      <c r="L1160" s="6"/>
      <c r="M1160" s="6">
        <f t="shared" si="103"/>
        <v>10</v>
      </c>
      <c r="N1160" s="8">
        <v>31330</v>
      </c>
      <c r="O1160" s="149"/>
    </row>
    <row r="1161" spans="1:15" s="9" customFormat="1" ht="16.5" customHeight="1">
      <c r="A1161" s="2">
        <v>62</v>
      </c>
      <c r="B1161" s="3">
        <v>70</v>
      </c>
      <c r="C1161" s="3">
        <v>1026</v>
      </c>
      <c r="D1161" s="3" t="s">
        <v>237</v>
      </c>
      <c r="E1161" s="3"/>
      <c r="F1161" s="4" t="s">
        <v>243</v>
      </c>
      <c r="G1161" s="5" t="s">
        <v>250</v>
      </c>
      <c r="H1161" s="4" t="s">
        <v>240</v>
      </c>
      <c r="I1161" s="3" t="s">
        <v>2590</v>
      </c>
      <c r="J1161" s="3" t="s">
        <v>79</v>
      </c>
      <c r="K1161" s="6">
        <v>10</v>
      </c>
      <c r="L1161" s="6"/>
      <c r="M1161" s="6">
        <f t="shared" si="103"/>
        <v>10</v>
      </c>
      <c r="N1161" s="8">
        <v>31330</v>
      </c>
      <c r="O1161" s="149"/>
    </row>
    <row r="1162" spans="1:15" s="9" customFormat="1" ht="16.5" customHeight="1">
      <c r="A1162" s="2">
        <v>62</v>
      </c>
      <c r="B1162" s="3">
        <v>71</v>
      </c>
      <c r="C1162" s="3">
        <v>1025</v>
      </c>
      <c r="D1162" s="3" t="s">
        <v>237</v>
      </c>
      <c r="E1162" s="3"/>
      <c r="F1162" s="4" t="s">
        <v>243</v>
      </c>
      <c r="G1162" s="5" t="s">
        <v>250</v>
      </c>
      <c r="H1162" s="4" t="s">
        <v>241</v>
      </c>
      <c r="I1162" s="3" t="s">
        <v>2590</v>
      </c>
      <c r="J1162" s="3" t="s">
        <v>79</v>
      </c>
      <c r="K1162" s="6">
        <v>10</v>
      </c>
      <c r="L1162" s="6"/>
      <c r="M1162" s="6">
        <f t="shared" si="103"/>
        <v>10</v>
      </c>
      <c r="N1162" s="8">
        <v>31330</v>
      </c>
      <c r="O1162" s="149"/>
    </row>
    <row r="1163" spans="1:15" s="9" customFormat="1" ht="16.5" customHeight="1">
      <c r="A1163" s="2">
        <v>62</v>
      </c>
      <c r="B1163" s="3">
        <v>72</v>
      </c>
      <c r="C1163" s="3">
        <v>1026</v>
      </c>
      <c r="D1163" s="3" t="s">
        <v>237</v>
      </c>
      <c r="E1163" s="3"/>
      <c r="F1163" s="4" t="s">
        <v>243</v>
      </c>
      <c r="G1163" s="5" t="s">
        <v>251</v>
      </c>
      <c r="H1163" s="4" t="s">
        <v>240</v>
      </c>
      <c r="I1163" s="3" t="s">
        <v>2594</v>
      </c>
      <c r="J1163" s="3" t="s">
        <v>79</v>
      </c>
      <c r="K1163" s="6">
        <v>10</v>
      </c>
      <c r="L1163" s="6"/>
      <c r="M1163" s="6">
        <f t="shared" si="103"/>
        <v>10</v>
      </c>
      <c r="N1163" s="8">
        <v>31330</v>
      </c>
      <c r="O1163" s="149"/>
    </row>
    <row r="1164" spans="1:15" s="9" customFormat="1" ht="16.5" customHeight="1">
      <c r="A1164" s="2">
        <v>62</v>
      </c>
      <c r="B1164" s="3">
        <v>73</v>
      </c>
      <c r="C1164" s="3">
        <v>1025</v>
      </c>
      <c r="D1164" s="3" t="s">
        <v>237</v>
      </c>
      <c r="E1164" s="3"/>
      <c r="F1164" s="4" t="s">
        <v>243</v>
      </c>
      <c r="G1164" s="5" t="s">
        <v>251</v>
      </c>
      <c r="H1164" s="4" t="s">
        <v>241</v>
      </c>
      <c r="I1164" s="3" t="s">
        <v>2590</v>
      </c>
      <c r="J1164" s="3" t="s">
        <v>79</v>
      </c>
      <c r="K1164" s="6">
        <v>10</v>
      </c>
      <c r="L1164" s="6"/>
      <c r="M1164" s="6">
        <f t="shared" si="103"/>
        <v>10</v>
      </c>
      <c r="N1164" s="8">
        <v>31330</v>
      </c>
      <c r="O1164" s="149"/>
    </row>
    <row r="1165" spans="1:15" s="9" customFormat="1" ht="16.5" customHeight="1">
      <c r="A1165" s="2">
        <v>62</v>
      </c>
      <c r="B1165" s="3">
        <v>74</v>
      </c>
      <c r="C1165" s="3">
        <v>1026</v>
      </c>
      <c r="D1165" s="3" t="s">
        <v>237</v>
      </c>
      <c r="E1165" s="3"/>
      <c r="F1165" s="4" t="s">
        <v>243</v>
      </c>
      <c r="G1165" s="5" t="s">
        <v>252</v>
      </c>
      <c r="H1165" s="4" t="s">
        <v>240</v>
      </c>
      <c r="I1165" s="3" t="s">
        <v>2590</v>
      </c>
      <c r="J1165" s="3" t="s">
        <v>79</v>
      </c>
      <c r="K1165" s="6">
        <v>2</v>
      </c>
      <c r="L1165" s="6"/>
      <c r="M1165" s="6">
        <f t="shared" si="103"/>
        <v>2</v>
      </c>
      <c r="N1165" s="8">
        <v>31330</v>
      </c>
      <c r="O1165" s="149"/>
    </row>
    <row r="1166" spans="1:15" s="9" customFormat="1" ht="16.5" customHeight="1">
      <c r="A1166" s="2">
        <v>62</v>
      </c>
      <c r="B1166" s="3">
        <v>75</v>
      </c>
      <c r="C1166" s="3">
        <v>1025</v>
      </c>
      <c r="D1166" s="3" t="s">
        <v>237</v>
      </c>
      <c r="E1166" s="3"/>
      <c r="F1166" s="4" t="s">
        <v>243</v>
      </c>
      <c r="G1166" s="5" t="s">
        <v>252</v>
      </c>
      <c r="H1166" s="4" t="s">
        <v>241</v>
      </c>
      <c r="I1166" s="3" t="s">
        <v>2590</v>
      </c>
      <c r="J1166" s="3" t="s">
        <v>79</v>
      </c>
      <c r="K1166" s="6">
        <v>2</v>
      </c>
      <c r="L1166" s="6"/>
      <c r="M1166" s="6">
        <f t="shared" si="103"/>
        <v>2</v>
      </c>
      <c r="N1166" s="8">
        <v>31330</v>
      </c>
      <c r="O1166" s="149"/>
    </row>
    <row r="1167" spans="1:15" s="9" customFormat="1" ht="16.5" customHeight="1">
      <c r="A1167" s="2">
        <v>62</v>
      </c>
      <c r="B1167" s="3">
        <v>76</v>
      </c>
      <c r="C1167" s="3">
        <v>1026</v>
      </c>
      <c r="D1167" s="3" t="s">
        <v>237</v>
      </c>
      <c r="E1167" s="3"/>
      <c r="F1167" s="4" t="s">
        <v>253</v>
      </c>
      <c r="G1167" s="5" t="s">
        <v>254</v>
      </c>
      <c r="H1167" s="4" t="s">
        <v>255</v>
      </c>
      <c r="I1167" s="3" t="s">
        <v>2592</v>
      </c>
      <c r="J1167" s="3" t="s">
        <v>79</v>
      </c>
      <c r="K1167" s="6">
        <v>20</v>
      </c>
      <c r="L1167" s="6"/>
      <c r="M1167" s="6">
        <f t="shared" si="103"/>
        <v>20</v>
      </c>
      <c r="N1167" s="8">
        <v>49870</v>
      </c>
      <c r="O1167" s="149"/>
    </row>
    <row r="1168" spans="1:15" s="9" customFormat="1" ht="16.5" customHeight="1">
      <c r="A1168" s="2">
        <v>62</v>
      </c>
      <c r="B1168" s="3">
        <v>77</v>
      </c>
      <c r="C1168" s="3">
        <v>1025</v>
      </c>
      <c r="D1168" s="3" t="s">
        <v>237</v>
      </c>
      <c r="E1168" s="3"/>
      <c r="F1168" s="4" t="s">
        <v>253</v>
      </c>
      <c r="G1168" s="5" t="s">
        <v>256</v>
      </c>
      <c r="H1168" s="4" t="s">
        <v>257</v>
      </c>
      <c r="I1168" s="3" t="s">
        <v>2593</v>
      </c>
      <c r="J1168" s="3" t="s">
        <v>79</v>
      </c>
      <c r="K1168" s="6">
        <v>20</v>
      </c>
      <c r="L1168" s="6"/>
      <c r="M1168" s="6">
        <f t="shared" si="103"/>
        <v>20</v>
      </c>
      <c r="N1168" s="8">
        <v>49870</v>
      </c>
      <c r="O1168" s="149"/>
    </row>
    <row r="1169" spans="1:17" s="9" customFormat="1" ht="16.5" customHeight="1">
      <c r="A1169" s="2">
        <v>62</v>
      </c>
      <c r="B1169" s="3">
        <v>78</v>
      </c>
      <c r="C1169" s="3">
        <v>1026</v>
      </c>
      <c r="D1169" s="3" t="s">
        <v>237</v>
      </c>
      <c r="E1169" s="3"/>
      <c r="F1169" s="4" t="s">
        <v>253</v>
      </c>
      <c r="G1169" s="5" t="s">
        <v>258</v>
      </c>
      <c r="H1169" s="4" t="s">
        <v>259</v>
      </c>
      <c r="I1169" s="3" t="s">
        <v>2590</v>
      </c>
      <c r="J1169" s="3" t="s">
        <v>79</v>
      </c>
      <c r="K1169" s="6">
        <v>20</v>
      </c>
      <c r="L1169" s="6"/>
      <c r="M1169" s="6">
        <f t="shared" si="103"/>
        <v>20</v>
      </c>
      <c r="N1169" s="8">
        <v>49870</v>
      </c>
      <c r="O1169" s="149"/>
    </row>
    <row r="1170" spans="1:17" s="9" customFormat="1" ht="16.5" customHeight="1">
      <c r="A1170" s="2">
        <v>62</v>
      </c>
      <c r="B1170" s="3">
        <v>79</v>
      </c>
      <c r="C1170" s="3">
        <v>1025</v>
      </c>
      <c r="D1170" s="3" t="s">
        <v>237</v>
      </c>
      <c r="E1170" s="3"/>
      <c r="F1170" s="4" t="s">
        <v>260</v>
      </c>
      <c r="G1170" s="5" t="s">
        <v>261</v>
      </c>
      <c r="H1170" s="4" t="s">
        <v>262</v>
      </c>
      <c r="I1170" s="3" t="s">
        <v>2592</v>
      </c>
      <c r="J1170" s="3" t="s">
        <v>85</v>
      </c>
      <c r="K1170" s="6">
        <v>30</v>
      </c>
      <c r="L1170" s="6"/>
      <c r="M1170" s="6">
        <f t="shared" si="103"/>
        <v>30</v>
      </c>
      <c r="N1170" s="8">
        <v>60350</v>
      </c>
      <c r="O1170" s="149"/>
    </row>
    <row r="1171" spans="1:17" s="9" customFormat="1" ht="16.5" customHeight="1">
      <c r="A1171" s="2">
        <v>62</v>
      </c>
      <c r="B1171" s="3">
        <v>80</v>
      </c>
      <c r="C1171" s="3">
        <v>1026</v>
      </c>
      <c r="D1171" s="3" t="s">
        <v>237</v>
      </c>
      <c r="E1171" s="3"/>
      <c r="F1171" s="4" t="s">
        <v>260</v>
      </c>
      <c r="G1171" s="5" t="s">
        <v>261</v>
      </c>
      <c r="H1171" s="4" t="s">
        <v>263</v>
      </c>
      <c r="I1171" s="3" t="s">
        <v>2592</v>
      </c>
      <c r="J1171" s="3" t="s">
        <v>85</v>
      </c>
      <c r="K1171" s="6">
        <v>30</v>
      </c>
      <c r="L1171" s="6"/>
      <c r="M1171" s="6">
        <f t="shared" si="103"/>
        <v>30</v>
      </c>
      <c r="N1171" s="8">
        <v>60350</v>
      </c>
      <c r="O1171" s="149"/>
    </row>
    <row r="1172" spans="1:17" s="9" customFormat="1" ht="16.5" customHeight="1">
      <c r="A1172" s="2">
        <v>62</v>
      </c>
      <c r="B1172" s="3">
        <v>81</v>
      </c>
      <c r="C1172" s="3">
        <v>1025</v>
      </c>
      <c r="D1172" s="3" t="s">
        <v>237</v>
      </c>
      <c r="E1172" s="3"/>
      <c r="F1172" s="4" t="s">
        <v>260</v>
      </c>
      <c r="G1172" s="5" t="s">
        <v>261</v>
      </c>
      <c r="H1172" s="4" t="s">
        <v>264</v>
      </c>
      <c r="I1172" s="3" t="s">
        <v>2593</v>
      </c>
      <c r="J1172" s="3" t="s">
        <v>85</v>
      </c>
      <c r="K1172" s="6">
        <v>30</v>
      </c>
      <c r="L1172" s="6"/>
      <c r="M1172" s="6">
        <f t="shared" si="103"/>
        <v>30</v>
      </c>
      <c r="N1172" s="8">
        <v>60350</v>
      </c>
      <c r="O1172" s="149"/>
    </row>
    <row r="1173" spans="1:17" s="9" customFormat="1" ht="16.5" customHeight="1" thickBot="1">
      <c r="A1173" s="126"/>
      <c r="B1173" s="127"/>
      <c r="C1173" s="127"/>
      <c r="D1173" s="127"/>
      <c r="E1173" s="127"/>
      <c r="F1173" s="128"/>
      <c r="G1173" s="129"/>
      <c r="H1173" s="128"/>
      <c r="I1173" s="128"/>
      <c r="J1173" s="127"/>
      <c r="K1173" s="158">
        <f>SUM(K1092:K1172)</f>
        <v>11078</v>
      </c>
      <c r="L1173" s="158">
        <f t="shared" ref="L1173:M1173" si="104">SUM(L1092:L1172)</f>
        <v>2050</v>
      </c>
      <c r="M1173" s="158">
        <f t="shared" si="104"/>
        <v>13128</v>
      </c>
      <c r="N1173" s="130"/>
      <c r="O1173" s="150"/>
    </row>
    <row r="1174" spans="1:17" s="96" customFormat="1">
      <c r="A1174" s="91"/>
      <c r="B1174" s="92"/>
      <c r="C1174" s="92"/>
      <c r="D1174" s="92"/>
      <c r="E1174" s="92"/>
      <c r="F1174" s="92"/>
      <c r="G1174" s="93"/>
      <c r="H1174" s="92"/>
      <c r="I1174" s="94"/>
      <c r="J1174" s="92"/>
      <c r="K1174" s="95"/>
      <c r="L1174" s="95"/>
      <c r="M1174" s="95"/>
      <c r="O1174" s="92"/>
      <c r="P1174"/>
      <c r="Q1174"/>
    </row>
    <row r="1175" spans="1:17" s="96" customFormat="1">
      <c r="A1175" s="91"/>
      <c r="B1175" s="92"/>
      <c r="C1175" s="92"/>
      <c r="D1175" s="92"/>
      <c r="E1175" s="92"/>
      <c r="F1175" s="92"/>
      <c r="G1175" s="93"/>
      <c r="H1175" s="92"/>
      <c r="I1175" s="94"/>
      <c r="J1175" s="92"/>
      <c r="K1175" s="95"/>
      <c r="L1175" s="95"/>
      <c r="M1175" s="95"/>
      <c r="O1175" s="92"/>
      <c r="P1175"/>
      <c r="Q1175"/>
    </row>
  </sheetData>
  <autoFilter ref="A3:O1173"/>
  <mergeCells count="12">
    <mergeCell ref="N2:N3"/>
    <mergeCell ref="O2:O3"/>
    <mergeCell ref="H2:H3"/>
    <mergeCell ref="I2:I3"/>
    <mergeCell ref="J2:J3"/>
    <mergeCell ref="K2:M2"/>
    <mergeCell ref="G2:G3"/>
    <mergeCell ref="A2:A3"/>
    <mergeCell ref="C2:C3"/>
    <mergeCell ref="B2:B3"/>
    <mergeCell ref="D2:E2"/>
    <mergeCell ref="F2:F3"/>
  </mergeCells>
  <phoneticPr fontId="4" type="noConversion"/>
  <pageMargins left="0" right="0" top="0.27559055118110237" bottom="0" header="0.31496062992125984" footer="0.31496062992125984"/>
  <pageSetup paperSize="9" scale="7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위생재료　입찰예정품목</vt:lpstr>
      <vt:lpstr>'위생재료　입찰예정품목'!Print_Area</vt:lpstr>
      <vt:lpstr>'위생재료　입찰예정품목'!Print_Titles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2026-10-08T02:24:04Z</cp:lastPrinted>
  <dcterms:created xsi:type="dcterms:W3CDTF">2026-10-07T01:22:17Z</dcterms:created>
  <dcterms:modified xsi:type="dcterms:W3CDTF">2026-10-20T02:49:20Z</dcterms:modified>
</cp:coreProperties>
</file>